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tonius\OneDrive\CHF\Data\Hydroponics Cost Calculator\"/>
    </mc:Choice>
  </mc:AlternateContent>
  <xr:revisionPtr revIDLastSave="0" documentId="13_ncr:1_{D43DF4D9-9770-4418-842E-F5D434BB0228}" xr6:coauthVersionLast="41" xr6:coauthVersionMax="41" xr10:uidLastSave="{00000000-0000-0000-0000-000000000000}"/>
  <bookViews>
    <workbookView xWindow="-120" yWindow="-120" windowWidth="29040" windowHeight="15840" tabRatio="807" activeTab="1" xr2:uid="{00000000-000D-0000-FFFF-FFFF00000000}"/>
  </bookViews>
  <sheets>
    <sheet name="Client" sheetId="11" r:id="rId1"/>
    <sheet name="General" sheetId="10" r:id="rId2"/>
    <sheet name="Cover Struct" sheetId="9" r:id="rId3"/>
    <sheet name="Irrigation" sheetId="8" r:id="rId4"/>
    <sheet name="Heating" sheetId="7" r:id="rId5"/>
    <sheet name="Cooling" sheetId="6" r:id="rId6"/>
    <sheet name="Civils" sheetId="5" r:id="rId7"/>
    <sheet name="Equipment" sheetId="4" r:id="rId8"/>
    <sheet name="Production Costs" sheetId="1" r:id="rId9"/>
    <sheet name="Market" sheetId="2" r:id="rId10"/>
    <sheet name="Summary - Costing" sheetId="18" r:id="rId11"/>
    <sheet name="Projections" sheetId="17" r:id="rId12"/>
    <sheet name="Cash Flow - Year 1" sheetId="16" r:id="rId13"/>
    <sheet name="Cash Flow - Year 2" sheetId="15" r:id="rId14"/>
    <sheet name="Cash Flow - Year 3" sheetId="14" r:id="rId15"/>
    <sheet name="Cash Flow - Year 4" sheetId="13" r:id="rId16"/>
    <sheet name="Cash Flow - Year 5" sheetId="12" r:id="rId17"/>
    <sheet name="Cash Flow - Year 6" sheetId="21" r:id="rId18"/>
    <sheet name="Cash Flow - Year 7" sheetId="20" r:id="rId19"/>
    <sheet name="Cash Flow - Year 8" sheetId="19" r:id="rId20"/>
    <sheet name="Cash Flow - Annual" sheetId="3" r:id="rId21"/>
  </sheets>
  <definedNames>
    <definedName name="Crops">General!$I$6:$I$8</definedName>
    <definedName name="Curr_1">General!$D$30</definedName>
    <definedName name="Curr_2">General!$D$31</definedName>
    <definedName name="Curr_Conv">General!$D$32</definedName>
    <definedName name="unit_area">General!$D$37</definedName>
    <definedName name="unit_length">General!$D$36</definedName>
    <definedName name="unit_number">General!$D$41</definedName>
    <definedName name="unit_time_worked">General!$D$42</definedName>
    <definedName name="unit_travel">General!$D$43</definedName>
    <definedName name="unit_vol_material">General!$D$39</definedName>
    <definedName name="unit_volume">General!$D$38</definedName>
    <definedName name="unit_weight">General!$D$40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9" l="1"/>
  <c r="D12" i="17" l="1"/>
  <c r="D13" i="17"/>
  <c r="D14" i="17"/>
  <c r="D15" i="17"/>
  <c r="D16" i="17"/>
  <c r="D17" i="17"/>
  <c r="D18" i="17"/>
  <c r="D11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56" i="1"/>
  <c r="E6" i="17"/>
  <c r="D33" i="1"/>
  <c r="D32" i="1"/>
  <c r="D31" i="1"/>
  <c r="D29" i="1"/>
  <c r="D28" i="1"/>
  <c r="D27" i="1"/>
  <c r="D26" i="1"/>
  <c r="D25" i="1"/>
  <c r="D24" i="1"/>
  <c r="D23" i="1"/>
  <c r="D22" i="1"/>
  <c r="D21" i="1"/>
  <c r="D18" i="1"/>
  <c r="D17" i="1"/>
  <c r="D16" i="1"/>
  <c r="D15" i="1"/>
  <c r="D14" i="1"/>
  <c r="D13" i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11" i="4"/>
  <c r="D123" i="5"/>
  <c r="D122" i="5"/>
  <c r="D121" i="5"/>
  <c r="D109" i="5"/>
  <c r="D108" i="5"/>
  <c r="D107" i="5"/>
  <c r="D95" i="5"/>
  <c r="D94" i="5"/>
  <c r="D93" i="5"/>
  <c r="D79" i="5"/>
  <c r="D80" i="5"/>
  <c r="D81" i="5"/>
  <c r="D78" i="5"/>
  <c r="D77" i="5"/>
  <c r="D65" i="5"/>
  <c r="D64" i="5"/>
  <c r="D63" i="5"/>
  <c r="D62" i="5"/>
  <c r="D61" i="5"/>
  <c r="D45" i="5"/>
  <c r="D47" i="5"/>
  <c r="D46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44" i="6"/>
  <c r="D43" i="6"/>
  <c r="D42" i="6"/>
  <c r="D41" i="6"/>
  <c r="D40" i="6"/>
  <c r="D39" i="6"/>
  <c r="D38" i="6"/>
  <c r="D37" i="6"/>
  <c r="D36" i="6"/>
  <c r="D23" i="6"/>
  <c r="D22" i="6"/>
  <c r="D21" i="6"/>
  <c r="D20" i="6"/>
  <c r="D19" i="6"/>
  <c r="D18" i="6"/>
  <c r="D17" i="6"/>
  <c r="D16" i="6"/>
  <c r="D15" i="6"/>
  <c r="D14" i="6"/>
  <c r="D13" i="6"/>
  <c r="D12" i="6"/>
  <c r="D106" i="7"/>
  <c r="D105" i="7"/>
  <c r="D104" i="7"/>
  <c r="D103" i="7"/>
  <c r="D102" i="7"/>
  <c r="D101" i="7"/>
  <c r="D100" i="7"/>
  <c r="D99" i="7"/>
  <c r="D98" i="7"/>
  <c r="D97" i="7"/>
  <c r="D96" i="7"/>
  <c r="D95" i="7"/>
  <c r="D83" i="7"/>
  <c r="D82" i="7"/>
  <c r="D81" i="7"/>
  <c r="D80" i="7"/>
  <c r="D79" i="7"/>
  <c r="D78" i="7"/>
  <c r="D77" i="7"/>
  <c r="D76" i="7"/>
  <c r="D75" i="7"/>
  <c r="D74" i="7"/>
  <c r="D73" i="7"/>
  <c r="D59" i="7"/>
  <c r="D58" i="7"/>
  <c r="D57" i="7"/>
  <c r="D56" i="7"/>
  <c r="D55" i="7"/>
  <c r="D54" i="7"/>
  <c r="D53" i="7"/>
  <c r="D52" i="7"/>
  <c r="D51" i="7"/>
  <c r="D50" i="7"/>
  <c r="D49" i="7"/>
  <c r="D37" i="7"/>
  <c r="D36" i="7"/>
  <c r="D35" i="7"/>
  <c r="D34" i="7"/>
  <c r="D33" i="7"/>
  <c r="D32" i="7"/>
  <c r="D31" i="7"/>
  <c r="D18" i="7"/>
  <c r="D17" i="7"/>
  <c r="D16" i="7"/>
  <c r="D15" i="7"/>
  <c r="D14" i="7"/>
  <c r="D13" i="7"/>
  <c r="D12" i="7"/>
  <c r="D11" i="7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63" i="9"/>
  <c r="D62" i="9"/>
  <c r="D61" i="9"/>
  <c r="D60" i="9"/>
  <c r="D59" i="9"/>
  <c r="D22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23" i="9"/>
  <c r="D21" i="9"/>
  <c r="D20" i="9"/>
  <c r="D19" i="9"/>
  <c r="D18" i="9"/>
  <c r="D17" i="9"/>
  <c r="D16" i="9"/>
  <c r="D14" i="9"/>
  <c r="F30" i="2"/>
  <c r="F11" i="2"/>
  <c r="E64" i="18"/>
  <c r="D64" i="18"/>
  <c r="D61" i="18"/>
  <c r="D60" i="18"/>
  <c r="E44" i="18"/>
  <c r="D44" i="18"/>
  <c r="D41" i="18"/>
  <c r="D40" i="18"/>
  <c r="E10" i="18"/>
  <c r="D10" i="18"/>
  <c r="D7" i="18"/>
  <c r="D6" i="18"/>
  <c r="G29" i="2"/>
  <c r="G10" i="2"/>
  <c r="D77" i="1"/>
  <c r="D76" i="1"/>
  <c r="H80" i="1"/>
  <c r="I80" i="1"/>
  <c r="D62" i="1"/>
  <c r="D61" i="1"/>
  <c r="I65" i="1"/>
  <c r="H65" i="1"/>
  <c r="D7" i="1"/>
  <c r="D6" i="1"/>
  <c r="F4" i="1"/>
  <c r="G4" i="1"/>
  <c r="H10" i="1"/>
  <c r="G10" i="1"/>
  <c r="K1" i="1"/>
  <c r="H10" i="4"/>
  <c r="G10" i="4"/>
  <c r="E7" i="4"/>
  <c r="E6" i="4"/>
  <c r="H4" i="4"/>
  <c r="G4" i="4"/>
  <c r="K2" i="4"/>
  <c r="K1" i="4"/>
  <c r="E7" i="5"/>
  <c r="E6" i="5"/>
  <c r="E41" i="5"/>
  <c r="E40" i="5"/>
  <c r="E57" i="5"/>
  <c r="E56" i="5"/>
  <c r="E73" i="5"/>
  <c r="E72" i="5"/>
  <c r="E89" i="5"/>
  <c r="E88" i="5"/>
  <c r="E103" i="5"/>
  <c r="E102" i="5"/>
  <c r="E117" i="5"/>
  <c r="E116" i="5"/>
  <c r="H120" i="5"/>
  <c r="G120" i="5"/>
  <c r="H114" i="5"/>
  <c r="G114" i="5"/>
  <c r="H106" i="5"/>
  <c r="G106" i="5"/>
  <c r="H100" i="5"/>
  <c r="G100" i="5"/>
  <c r="H92" i="5"/>
  <c r="G92" i="5"/>
  <c r="H86" i="5"/>
  <c r="G86" i="5"/>
  <c r="H76" i="5"/>
  <c r="G76" i="5"/>
  <c r="G70" i="5"/>
  <c r="H70" i="5"/>
  <c r="H60" i="5"/>
  <c r="G60" i="5"/>
  <c r="H54" i="5"/>
  <c r="G54" i="5"/>
  <c r="H44" i="5"/>
  <c r="G44" i="5"/>
  <c r="H38" i="5"/>
  <c r="G38" i="5"/>
  <c r="H10" i="5"/>
  <c r="G10" i="5"/>
  <c r="H4" i="5"/>
  <c r="G4" i="5"/>
  <c r="K1" i="5"/>
  <c r="K1" i="6"/>
  <c r="E7" i="6"/>
  <c r="E6" i="6"/>
  <c r="E31" i="6"/>
  <c r="H42" i="6" s="1"/>
  <c r="E30" i="6"/>
  <c r="H35" i="6"/>
  <c r="G35" i="6"/>
  <c r="H28" i="6"/>
  <c r="G28" i="6"/>
  <c r="H11" i="6"/>
  <c r="G11" i="6"/>
  <c r="H4" i="6"/>
  <c r="G4" i="6"/>
  <c r="E7" i="7"/>
  <c r="E6" i="7"/>
  <c r="H4" i="7" s="1"/>
  <c r="E26" i="7"/>
  <c r="E25" i="7"/>
  <c r="E44" i="7"/>
  <c r="E43" i="7"/>
  <c r="E69" i="7"/>
  <c r="E68" i="7"/>
  <c r="E91" i="7"/>
  <c r="E90" i="7"/>
  <c r="H94" i="7"/>
  <c r="G94" i="7"/>
  <c r="H88" i="7"/>
  <c r="G88" i="7"/>
  <c r="H72" i="7"/>
  <c r="G72" i="7"/>
  <c r="H66" i="7"/>
  <c r="G66" i="7"/>
  <c r="H48" i="7"/>
  <c r="G48" i="7"/>
  <c r="H41" i="7"/>
  <c r="G41" i="7"/>
  <c r="H30" i="7"/>
  <c r="G30" i="7"/>
  <c r="H23" i="7"/>
  <c r="G23" i="7"/>
  <c r="H10" i="7"/>
  <c r="G10" i="7"/>
  <c r="G4" i="7"/>
  <c r="K1" i="7"/>
  <c r="E65" i="8"/>
  <c r="E64" i="8"/>
  <c r="H62" i="8"/>
  <c r="G62" i="8"/>
  <c r="L1" i="8"/>
  <c r="E7" i="8"/>
  <c r="E6" i="8"/>
  <c r="H11" i="8"/>
  <c r="G11" i="8"/>
  <c r="H4" i="8"/>
  <c r="G4" i="8"/>
  <c r="H69" i="8"/>
  <c r="G69" i="8"/>
  <c r="K1" i="9"/>
  <c r="E7" i="9"/>
  <c r="E6" i="9"/>
  <c r="E55" i="9"/>
  <c r="E54" i="9"/>
  <c r="H58" i="9"/>
  <c r="G58" i="9"/>
  <c r="H52" i="9"/>
  <c r="G52" i="9"/>
  <c r="E31" i="9"/>
  <c r="E30" i="9"/>
  <c r="H4" i="9"/>
  <c r="H28" i="9" s="1"/>
  <c r="G4" i="9"/>
  <c r="G28" i="9" s="1"/>
  <c r="C32" i="10"/>
  <c r="D62" i="16"/>
  <c r="J53" i="16" s="1"/>
  <c r="E62" i="16"/>
  <c r="F62" i="16"/>
  <c r="G62" i="16"/>
  <c r="H62" i="16"/>
  <c r="I62" i="16"/>
  <c r="J62" i="16"/>
  <c r="K62" i="16"/>
  <c r="L62" i="16"/>
  <c r="M62" i="16"/>
  <c r="N62" i="16"/>
  <c r="O62" i="16"/>
  <c r="D8" i="14"/>
  <c r="D8" i="13" s="1"/>
  <c r="D8" i="12" s="1"/>
  <c r="D8" i="21" s="1"/>
  <c r="D8" i="20" s="1"/>
  <c r="D8" i="19" s="1"/>
  <c r="D53" i="16"/>
  <c r="E53" i="16"/>
  <c r="F53" i="16"/>
  <c r="G53" i="16"/>
  <c r="E39" i="16"/>
  <c r="F39" i="16"/>
  <c r="G39" i="16"/>
  <c r="H39" i="16"/>
  <c r="I39" i="16"/>
  <c r="J39" i="16"/>
  <c r="K39" i="16"/>
  <c r="L39" i="16"/>
  <c r="M39" i="16"/>
  <c r="N39" i="16"/>
  <c r="O39" i="16"/>
  <c r="E38" i="16"/>
  <c r="F38" i="16"/>
  <c r="G38" i="16"/>
  <c r="H38" i="16"/>
  <c r="I38" i="16"/>
  <c r="J38" i="16"/>
  <c r="K38" i="16"/>
  <c r="L38" i="16"/>
  <c r="M38" i="16"/>
  <c r="N38" i="16"/>
  <c r="O38" i="16"/>
  <c r="G19" i="17"/>
  <c r="F15" i="16" s="1"/>
  <c r="H19" i="17"/>
  <c r="I19" i="17"/>
  <c r="H15" i="16" s="1"/>
  <c r="J19" i="17"/>
  <c r="K19" i="17"/>
  <c r="J15" i="16" s="1"/>
  <c r="L19" i="17"/>
  <c r="M19" i="17"/>
  <c r="L15" i="16" s="1"/>
  <c r="N19" i="17"/>
  <c r="O19" i="17"/>
  <c r="N15" i="16" s="1"/>
  <c r="P19" i="17"/>
  <c r="O15" i="16" s="1"/>
  <c r="E25" i="19"/>
  <c r="F25" i="19"/>
  <c r="G25" i="19"/>
  <c r="H25" i="19"/>
  <c r="I25" i="19"/>
  <c r="J25" i="19"/>
  <c r="K25" i="19"/>
  <c r="L25" i="19"/>
  <c r="M25" i="19"/>
  <c r="N25" i="19"/>
  <c r="O25" i="19"/>
  <c r="E23" i="19"/>
  <c r="F23" i="19"/>
  <c r="G23" i="19"/>
  <c r="H23" i="19"/>
  <c r="I23" i="19"/>
  <c r="J23" i="19"/>
  <c r="K23" i="19"/>
  <c r="L23" i="19"/>
  <c r="M23" i="19"/>
  <c r="N23" i="19"/>
  <c r="O23" i="19"/>
  <c r="E25" i="20"/>
  <c r="F25" i="20"/>
  <c r="G25" i="20"/>
  <c r="H25" i="20"/>
  <c r="I25" i="20"/>
  <c r="J25" i="20"/>
  <c r="K25" i="20"/>
  <c r="L25" i="20"/>
  <c r="M25" i="20"/>
  <c r="N25" i="20"/>
  <c r="O25" i="20"/>
  <c r="E23" i="20"/>
  <c r="F23" i="20"/>
  <c r="G23" i="20"/>
  <c r="H23" i="20"/>
  <c r="I23" i="20"/>
  <c r="J23" i="20"/>
  <c r="K23" i="20"/>
  <c r="L23" i="20"/>
  <c r="M23" i="20"/>
  <c r="N23" i="20"/>
  <c r="O23" i="20"/>
  <c r="E25" i="21"/>
  <c r="F25" i="21"/>
  <c r="G25" i="21"/>
  <c r="H25" i="21"/>
  <c r="I25" i="21"/>
  <c r="J25" i="21"/>
  <c r="K25" i="21"/>
  <c r="L25" i="21"/>
  <c r="M25" i="21"/>
  <c r="N25" i="21"/>
  <c r="O25" i="21"/>
  <c r="E23" i="21"/>
  <c r="F23" i="21"/>
  <c r="G23" i="21"/>
  <c r="H23" i="21"/>
  <c r="I23" i="21"/>
  <c r="J23" i="21"/>
  <c r="K23" i="21"/>
  <c r="L23" i="21"/>
  <c r="M23" i="21"/>
  <c r="N23" i="21"/>
  <c r="O23" i="21"/>
  <c r="E23" i="12"/>
  <c r="F23" i="12"/>
  <c r="G23" i="12"/>
  <c r="H23" i="12"/>
  <c r="I23" i="12"/>
  <c r="J23" i="12"/>
  <c r="K23" i="12"/>
  <c r="L23" i="12"/>
  <c r="M23" i="12"/>
  <c r="N23" i="12"/>
  <c r="O23" i="12"/>
  <c r="E26" i="13"/>
  <c r="F26" i="13"/>
  <c r="G26" i="13"/>
  <c r="H26" i="13"/>
  <c r="I26" i="13"/>
  <c r="J26" i="13"/>
  <c r="K26" i="13"/>
  <c r="L26" i="13"/>
  <c r="M26" i="13"/>
  <c r="N26" i="13"/>
  <c r="O26" i="13"/>
  <c r="E25" i="13"/>
  <c r="F25" i="13"/>
  <c r="G25" i="13"/>
  <c r="H25" i="13"/>
  <c r="I25" i="13"/>
  <c r="J25" i="13"/>
  <c r="K25" i="13"/>
  <c r="L25" i="13"/>
  <c r="M25" i="13"/>
  <c r="N25" i="13"/>
  <c r="O25" i="13"/>
  <c r="E23" i="13"/>
  <c r="F23" i="13"/>
  <c r="G23" i="13"/>
  <c r="H23" i="13"/>
  <c r="I23" i="13"/>
  <c r="J23" i="13"/>
  <c r="K23" i="13"/>
  <c r="L23" i="13"/>
  <c r="M23" i="13"/>
  <c r="N23" i="13"/>
  <c r="O23" i="13"/>
  <c r="P32" i="14"/>
  <c r="F31" i="3" s="1"/>
  <c r="E30" i="14"/>
  <c r="F30" i="14"/>
  <c r="G30" i="14"/>
  <c r="H30" i="14"/>
  <c r="I30" i="14"/>
  <c r="J30" i="14"/>
  <c r="K30" i="14"/>
  <c r="L30" i="14"/>
  <c r="M30" i="14"/>
  <c r="N30" i="14"/>
  <c r="O30" i="14"/>
  <c r="E29" i="14"/>
  <c r="F29" i="14"/>
  <c r="G29" i="14"/>
  <c r="H29" i="14"/>
  <c r="I29" i="14"/>
  <c r="J29" i="14"/>
  <c r="K29" i="14"/>
  <c r="L29" i="14"/>
  <c r="M29" i="14"/>
  <c r="N29" i="14"/>
  <c r="O29" i="14"/>
  <c r="E28" i="14"/>
  <c r="F28" i="14"/>
  <c r="G28" i="14"/>
  <c r="H28" i="14"/>
  <c r="I28" i="14"/>
  <c r="J28" i="14"/>
  <c r="K28" i="14"/>
  <c r="L28" i="14"/>
  <c r="M28" i="14"/>
  <c r="N28" i="14"/>
  <c r="O28" i="14"/>
  <c r="E27" i="14"/>
  <c r="F27" i="14"/>
  <c r="G27" i="14"/>
  <c r="H27" i="14"/>
  <c r="I27" i="14"/>
  <c r="J27" i="14"/>
  <c r="K27" i="14"/>
  <c r="L27" i="14"/>
  <c r="M27" i="14"/>
  <c r="N27" i="14"/>
  <c r="O27" i="14"/>
  <c r="E26" i="14"/>
  <c r="F26" i="14"/>
  <c r="G26" i="14"/>
  <c r="H26" i="14"/>
  <c r="I26" i="14"/>
  <c r="J26" i="14"/>
  <c r="K26" i="14"/>
  <c r="L26" i="14"/>
  <c r="M26" i="14"/>
  <c r="N26" i="14"/>
  <c r="O26" i="14"/>
  <c r="E25" i="14"/>
  <c r="F25" i="14"/>
  <c r="G25" i="14"/>
  <c r="H25" i="14"/>
  <c r="I25" i="14"/>
  <c r="J25" i="14"/>
  <c r="K25" i="14"/>
  <c r="L25" i="14"/>
  <c r="M25" i="14"/>
  <c r="N25" i="14"/>
  <c r="O25" i="14"/>
  <c r="E23" i="14"/>
  <c r="F23" i="14"/>
  <c r="G23" i="14"/>
  <c r="H23" i="14"/>
  <c r="I23" i="14"/>
  <c r="J23" i="14"/>
  <c r="K23" i="14"/>
  <c r="L23" i="14"/>
  <c r="M23" i="14"/>
  <c r="N23" i="14"/>
  <c r="O23" i="14"/>
  <c r="E23" i="15"/>
  <c r="F23" i="15"/>
  <c r="G23" i="15"/>
  <c r="H23" i="15"/>
  <c r="I23" i="15"/>
  <c r="J23" i="15"/>
  <c r="K23" i="15"/>
  <c r="L23" i="15"/>
  <c r="M23" i="15"/>
  <c r="N23" i="15"/>
  <c r="O23" i="15"/>
  <c r="E25" i="15"/>
  <c r="F25" i="15"/>
  <c r="G25" i="15"/>
  <c r="H25" i="15"/>
  <c r="I25" i="15"/>
  <c r="J25" i="15"/>
  <c r="K25" i="15"/>
  <c r="L25" i="15"/>
  <c r="M25" i="15"/>
  <c r="N25" i="15"/>
  <c r="O25" i="15"/>
  <c r="E26" i="15"/>
  <c r="F26" i="15"/>
  <c r="G26" i="15"/>
  <c r="H26" i="15"/>
  <c r="I26" i="15"/>
  <c r="J26" i="15"/>
  <c r="K26" i="15"/>
  <c r="L26" i="15"/>
  <c r="M26" i="15"/>
  <c r="N26" i="15"/>
  <c r="O26" i="15"/>
  <c r="E27" i="15"/>
  <c r="F27" i="15"/>
  <c r="G27" i="15"/>
  <c r="H27" i="15"/>
  <c r="I27" i="15"/>
  <c r="J27" i="15"/>
  <c r="K27" i="15"/>
  <c r="L27" i="15"/>
  <c r="M27" i="15"/>
  <c r="N27" i="15"/>
  <c r="O27" i="15"/>
  <c r="E28" i="15"/>
  <c r="F28" i="15"/>
  <c r="G28" i="15"/>
  <c r="H28" i="15"/>
  <c r="I28" i="15"/>
  <c r="J28" i="15"/>
  <c r="K28" i="15"/>
  <c r="L28" i="15"/>
  <c r="M28" i="15"/>
  <c r="N28" i="15"/>
  <c r="O28" i="15"/>
  <c r="E29" i="15"/>
  <c r="F29" i="15"/>
  <c r="G29" i="15"/>
  <c r="H29" i="15"/>
  <c r="I29" i="15"/>
  <c r="J29" i="15"/>
  <c r="K29" i="15"/>
  <c r="L29" i="15"/>
  <c r="M29" i="15"/>
  <c r="N29" i="15"/>
  <c r="O29" i="15"/>
  <c r="E30" i="15"/>
  <c r="F30" i="15"/>
  <c r="G30" i="15"/>
  <c r="H30" i="15"/>
  <c r="I30" i="15"/>
  <c r="J30" i="15"/>
  <c r="K30" i="15"/>
  <c r="L30" i="15"/>
  <c r="M30" i="15"/>
  <c r="N30" i="15"/>
  <c r="O30" i="15"/>
  <c r="P32" i="15"/>
  <c r="E31" i="3" s="1"/>
  <c r="P33" i="15"/>
  <c r="E32" i="3" s="1"/>
  <c r="P34" i="15"/>
  <c r="E33" i="3" s="1"/>
  <c r="P35" i="15"/>
  <c r="E34" i="3" s="1"/>
  <c r="D23" i="16"/>
  <c r="E23" i="16"/>
  <c r="F23" i="16"/>
  <c r="G23" i="16"/>
  <c r="H23" i="16"/>
  <c r="I23" i="16"/>
  <c r="J23" i="16"/>
  <c r="K23" i="16"/>
  <c r="L23" i="16"/>
  <c r="M23" i="16"/>
  <c r="N23" i="16"/>
  <c r="O23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D25" i="12"/>
  <c r="D19" i="12" s="1"/>
  <c r="E25" i="12"/>
  <c r="F25" i="12"/>
  <c r="G25" i="12"/>
  <c r="H25" i="12"/>
  <c r="I25" i="12"/>
  <c r="J25" i="12"/>
  <c r="K25" i="12"/>
  <c r="L25" i="12"/>
  <c r="M25" i="12"/>
  <c r="N25" i="12"/>
  <c r="O25" i="12"/>
  <c r="D26" i="16"/>
  <c r="E26" i="16"/>
  <c r="F26" i="16"/>
  <c r="G26" i="16"/>
  <c r="H26" i="16"/>
  <c r="I26" i="16"/>
  <c r="J26" i="16"/>
  <c r="K26" i="16"/>
  <c r="L26" i="16"/>
  <c r="M26" i="16"/>
  <c r="N26" i="16"/>
  <c r="O26" i="16"/>
  <c r="D26" i="12"/>
  <c r="E26" i="12"/>
  <c r="F26" i="12"/>
  <c r="G26" i="12"/>
  <c r="H26" i="12"/>
  <c r="I26" i="12"/>
  <c r="J26" i="12"/>
  <c r="K26" i="12"/>
  <c r="L26" i="12"/>
  <c r="M26" i="12"/>
  <c r="N26" i="12"/>
  <c r="O26" i="12"/>
  <c r="D26" i="21"/>
  <c r="E26" i="21"/>
  <c r="F26" i="21"/>
  <c r="G26" i="21"/>
  <c r="H26" i="21"/>
  <c r="I26" i="21"/>
  <c r="J26" i="21"/>
  <c r="K26" i="21"/>
  <c r="L26" i="21"/>
  <c r="M26" i="21"/>
  <c r="N26" i="21"/>
  <c r="O26" i="21"/>
  <c r="D26" i="20"/>
  <c r="E26" i="20"/>
  <c r="F26" i="20"/>
  <c r="G26" i="20"/>
  <c r="H26" i="20"/>
  <c r="I26" i="20"/>
  <c r="J26" i="20"/>
  <c r="K26" i="20"/>
  <c r="L26" i="20"/>
  <c r="M26" i="20"/>
  <c r="N26" i="20"/>
  <c r="O26" i="20"/>
  <c r="D26" i="19"/>
  <c r="E26" i="19"/>
  <c r="F26" i="19"/>
  <c r="G26" i="19"/>
  <c r="H26" i="19"/>
  <c r="I26" i="19"/>
  <c r="J26" i="19"/>
  <c r="K26" i="19"/>
  <c r="L26" i="19"/>
  <c r="M26" i="19"/>
  <c r="N26" i="19"/>
  <c r="O26" i="19"/>
  <c r="D27" i="16"/>
  <c r="E27" i="16"/>
  <c r="F27" i="16"/>
  <c r="G27" i="16"/>
  <c r="H27" i="16"/>
  <c r="I27" i="16"/>
  <c r="J27" i="16"/>
  <c r="K27" i="16"/>
  <c r="L27" i="16"/>
  <c r="M27" i="16"/>
  <c r="N27" i="16"/>
  <c r="O27" i="16"/>
  <c r="D27" i="13"/>
  <c r="E27" i="13"/>
  <c r="F27" i="13"/>
  <c r="G27" i="13"/>
  <c r="H27" i="13"/>
  <c r="I27" i="13"/>
  <c r="J27" i="13"/>
  <c r="K27" i="13"/>
  <c r="L27" i="13"/>
  <c r="M27" i="13"/>
  <c r="N27" i="13"/>
  <c r="O27" i="13"/>
  <c r="D27" i="12"/>
  <c r="E27" i="12"/>
  <c r="F27" i="12"/>
  <c r="G27" i="12"/>
  <c r="H27" i="12"/>
  <c r="I27" i="12"/>
  <c r="J27" i="12"/>
  <c r="K27" i="12"/>
  <c r="L27" i="12"/>
  <c r="M27" i="12"/>
  <c r="N27" i="12"/>
  <c r="O27" i="12"/>
  <c r="D27" i="21"/>
  <c r="E27" i="21"/>
  <c r="F27" i="21"/>
  <c r="G27" i="21"/>
  <c r="H27" i="21"/>
  <c r="I27" i="21"/>
  <c r="J27" i="21"/>
  <c r="K27" i="21"/>
  <c r="L27" i="21"/>
  <c r="M27" i="21"/>
  <c r="N27" i="21"/>
  <c r="O27" i="21"/>
  <c r="D27" i="20"/>
  <c r="E27" i="20"/>
  <c r="F27" i="20"/>
  <c r="G27" i="20"/>
  <c r="H27" i="20"/>
  <c r="I27" i="20"/>
  <c r="J27" i="20"/>
  <c r="K27" i="20"/>
  <c r="L27" i="20"/>
  <c r="M27" i="20"/>
  <c r="N27" i="20"/>
  <c r="O27" i="20"/>
  <c r="D27" i="19"/>
  <c r="E27" i="19"/>
  <c r="F27" i="19"/>
  <c r="G27" i="19"/>
  <c r="H27" i="19"/>
  <c r="I27" i="19"/>
  <c r="J27" i="19"/>
  <c r="K27" i="19"/>
  <c r="L27" i="19"/>
  <c r="M27" i="19"/>
  <c r="N27" i="19"/>
  <c r="O27" i="19"/>
  <c r="D28" i="16"/>
  <c r="E28" i="16"/>
  <c r="F28" i="16"/>
  <c r="G28" i="16"/>
  <c r="H28" i="16"/>
  <c r="I28" i="16"/>
  <c r="J28" i="16"/>
  <c r="K28" i="16"/>
  <c r="L28" i="16"/>
  <c r="M28" i="16"/>
  <c r="N28" i="16"/>
  <c r="O28" i="16"/>
  <c r="D28" i="13"/>
  <c r="E28" i="13"/>
  <c r="F28" i="13"/>
  <c r="G28" i="13"/>
  <c r="H28" i="13"/>
  <c r="I28" i="13"/>
  <c r="J28" i="13"/>
  <c r="K28" i="13"/>
  <c r="L28" i="13"/>
  <c r="M28" i="13"/>
  <c r="N28" i="13"/>
  <c r="O28" i="13"/>
  <c r="D28" i="12"/>
  <c r="E28" i="12"/>
  <c r="F28" i="12"/>
  <c r="G28" i="12"/>
  <c r="H28" i="12"/>
  <c r="I28" i="12"/>
  <c r="J28" i="12"/>
  <c r="K28" i="12"/>
  <c r="L28" i="12"/>
  <c r="M28" i="12"/>
  <c r="N28" i="12"/>
  <c r="O28" i="12"/>
  <c r="D28" i="21"/>
  <c r="E28" i="21"/>
  <c r="F28" i="21"/>
  <c r="G28" i="21"/>
  <c r="H28" i="21"/>
  <c r="I28" i="21"/>
  <c r="J28" i="21"/>
  <c r="K28" i="21"/>
  <c r="L28" i="21"/>
  <c r="M28" i="21"/>
  <c r="N28" i="21"/>
  <c r="O28" i="21"/>
  <c r="D28" i="20"/>
  <c r="E28" i="20"/>
  <c r="F28" i="20"/>
  <c r="G28" i="20"/>
  <c r="H28" i="20"/>
  <c r="I28" i="20"/>
  <c r="J28" i="20"/>
  <c r="K28" i="20"/>
  <c r="L28" i="20"/>
  <c r="M28" i="20"/>
  <c r="N28" i="20"/>
  <c r="O28" i="20"/>
  <c r="D28" i="19"/>
  <c r="E28" i="19"/>
  <c r="F28" i="19"/>
  <c r="G28" i="19"/>
  <c r="H28" i="19"/>
  <c r="I28" i="19"/>
  <c r="J28" i="19"/>
  <c r="K28" i="19"/>
  <c r="L28" i="19"/>
  <c r="M28" i="19"/>
  <c r="N28" i="19"/>
  <c r="O28" i="19"/>
  <c r="D29" i="16"/>
  <c r="E29" i="16"/>
  <c r="F29" i="16"/>
  <c r="G29" i="16"/>
  <c r="H29" i="16"/>
  <c r="I29" i="16"/>
  <c r="J29" i="16"/>
  <c r="K29" i="16"/>
  <c r="L29" i="16"/>
  <c r="M29" i="16"/>
  <c r="N29" i="16"/>
  <c r="O29" i="16"/>
  <c r="D29" i="13"/>
  <c r="E29" i="13"/>
  <c r="F29" i="13"/>
  <c r="G29" i="13"/>
  <c r="H29" i="13"/>
  <c r="I29" i="13"/>
  <c r="J29" i="13"/>
  <c r="K29" i="13"/>
  <c r="L29" i="13"/>
  <c r="M29" i="13"/>
  <c r="N29" i="13"/>
  <c r="O29" i="13"/>
  <c r="D29" i="12"/>
  <c r="E29" i="12"/>
  <c r="F29" i="12"/>
  <c r="G29" i="12"/>
  <c r="H29" i="12"/>
  <c r="I29" i="12"/>
  <c r="J29" i="12"/>
  <c r="K29" i="12"/>
  <c r="L29" i="12"/>
  <c r="M29" i="12"/>
  <c r="N29" i="12"/>
  <c r="O29" i="12"/>
  <c r="D29" i="21"/>
  <c r="E29" i="21"/>
  <c r="F29" i="21"/>
  <c r="G29" i="21"/>
  <c r="H29" i="21"/>
  <c r="I29" i="21"/>
  <c r="J29" i="21"/>
  <c r="K29" i="21"/>
  <c r="L29" i="21"/>
  <c r="M29" i="21"/>
  <c r="N29" i="21"/>
  <c r="O29" i="21"/>
  <c r="D29" i="20"/>
  <c r="E29" i="20"/>
  <c r="F29" i="20"/>
  <c r="G29" i="20"/>
  <c r="H29" i="20"/>
  <c r="I29" i="20"/>
  <c r="J29" i="20"/>
  <c r="K29" i="20"/>
  <c r="L29" i="20"/>
  <c r="M29" i="20"/>
  <c r="N29" i="20"/>
  <c r="O29" i="20"/>
  <c r="D29" i="19"/>
  <c r="E29" i="19"/>
  <c r="F29" i="19"/>
  <c r="G29" i="19"/>
  <c r="H29" i="19"/>
  <c r="I29" i="19"/>
  <c r="J29" i="19"/>
  <c r="K29" i="19"/>
  <c r="L29" i="19"/>
  <c r="M29" i="19"/>
  <c r="N29" i="19"/>
  <c r="O29" i="19"/>
  <c r="D30" i="16"/>
  <c r="E30" i="16"/>
  <c r="F30" i="16"/>
  <c r="G30" i="16"/>
  <c r="H30" i="16"/>
  <c r="I30" i="16"/>
  <c r="J30" i="16"/>
  <c r="K30" i="16"/>
  <c r="L30" i="16"/>
  <c r="M30" i="16"/>
  <c r="N30" i="16"/>
  <c r="O30" i="16"/>
  <c r="D30" i="13"/>
  <c r="E30" i="13"/>
  <c r="F30" i="13"/>
  <c r="G30" i="13"/>
  <c r="H30" i="13"/>
  <c r="I30" i="13"/>
  <c r="J30" i="13"/>
  <c r="K30" i="13"/>
  <c r="L30" i="13"/>
  <c r="M30" i="13"/>
  <c r="N30" i="13"/>
  <c r="O30" i="13"/>
  <c r="D30" i="12"/>
  <c r="E30" i="12"/>
  <c r="F30" i="12"/>
  <c r="G30" i="12"/>
  <c r="H30" i="12"/>
  <c r="I30" i="12"/>
  <c r="J30" i="12"/>
  <c r="K30" i="12"/>
  <c r="L30" i="12"/>
  <c r="M30" i="12"/>
  <c r="N30" i="12"/>
  <c r="O30" i="12"/>
  <c r="D30" i="21"/>
  <c r="E30" i="21"/>
  <c r="F30" i="21"/>
  <c r="G30" i="21"/>
  <c r="H30" i="21"/>
  <c r="I30" i="21"/>
  <c r="J30" i="21"/>
  <c r="K30" i="21"/>
  <c r="L30" i="21"/>
  <c r="M30" i="21"/>
  <c r="N30" i="21"/>
  <c r="O30" i="21"/>
  <c r="D30" i="20"/>
  <c r="E30" i="20"/>
  <c r="F30" i="20"/>
  <c r="G30" i="20"/>
  <c r="H30" i="20"/>
  <c r="I30" i="20"/>
  <c r="J30" i="20"/>
  <c r="K30" i="20"/>
  <c r="L30" i="20"/>
  <c r="M30" i="20"/>
  <c r="N30" i="20"/>
  <c r="O30" i="20"/>
  <c r="D30" i="19"/>
  <c r="E30" i="19"/>
  <c r="F30" i="19"/>
  <c r="G30" i="19"/>
  <c r="H30" i="19"/>
  <c r="I30" i="19"/>
  <c r="J30" i="19"/>
  <c r="K30" i="19"/>
  <c r="L30" i="19"/>
  <c r="M30" i="19"/>
  <c r="N30" i="19"/>
  <c r="O30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D39" i="20"/>
  <c r="E39" i="20"/>
  <c r="F39" i="20"/>
  <c r="G39" i="20"/>
  <c r="H39" i="20"/>
  <c r="I39" i="20"/>
  <c r="J39" i="20"/>
  <c r="K39" i="20"/>
  <c r="L39" i="20"/>
  <c r="M39" i="20"/>
  <c r="N39" i="20"/>
  <c r="O39" i="20"/>
  <c r="D39" i="21"/>
  <c r="E39" i="21"/>
  <c r="F39" i="21"/>
  <c r="G39" i="21"/>
  <c r="H39" i="21"/>
  <c r="I39" i="21"/>
  <c r="J39" i="21"/>
  <c r="K39" i="21"/>
  <c r="L39" i="21"/>
  <c r="M39" i="21"/>
  <c r="N39" i="21"/>
  <c r="O39" i="21"/>
  <c r="D39" i="12"/>
  <c r="E39" i="12"/>
  <c r="F39" i="12"/>
  <c r="G39" i="12"/>
  <c r="H39" i="12"/>
  <c r="I39" i="12"/>
  <c r="J39" i="12"/>
  <c r="K39" i="12"/>
  <c r="L39" i="12"/>
  <c r="M39" i="12"/>
  <c r="N39" i="12"/>
  <c r="O39" i="12"/>
  <c r="D39" i="13"/>
  <c r="E39" i="13"/>
  <c r="F39" i="13"/>
  <c r="G39" i="13"/>
  <c r="H39" i="13"/>
  <c r="I39" i="13"/>
  <c r="J39" i="13"/>
  <c r="K39" i="13"/>
  <c r="L39" i="13"/>
  <c r="M39" i="13"/>
  <c r="N39" i="13"/>
  <c r="O39" i="13"/>
  <c r="D39" i="14"/>
  <c r="E39" i="14"/>
  <c r="F39" i="14"/>
  <c r="G39" i="14"/>
  <c r="H39" i="14"/>
  <c r="I39" i="14"/>
  <c r="J39" i="14"/>
  <c r="K39" i="14"/>
  <c r="L39" i="14"/>
  <c r="M39" i="14"/>
  <c r="N39" i="14"/>
  <c r="O39" i="14"/>
  <c r="D39" i="15"/>
  <c r="E39" i="15"/>
  <c r="F39" i="15"/>
  <c r="G39" i="15"/>
  <c r="H39" i="15"/>
  <c r="I39" i="15"/>
  <c r="J39" i="15"/>
  <c r="K39" i="15"/>
  <c r="L39" i="15"/>
  <c r="M39" i="15"/>
  <c r="N39" i="15"/>
  <c r="O39" i="15"/>
  <c r="D38" i="19"/>
  <c r="E38" i="19"/>
  <c r="F38" i="19"/>
  <c r="G38" i="19"/>
  <c r="H38" i="19"/>
  <c r="I38" i="19"/>
  <c r="J38" i="19"/>
  <c r="K38" i="19"/>
  <c r="L38" i="19"/>
  <c r="M38" i="19"/>
  <c r="N38" i="19"/>
  <c r="O38" i="19"/>
  <c r="D38" i="20"/>
  <c r="E38" i="20"/>
  <c r="F38" i="20"/>
  <c r="G38" i="20"/>
  <c r="H38" i="20"/>
  <c r="I38" i="20"/>
  <c r="J38" i="20"/>
  <c r="K38" i="20"/>
  <c r="L38" i="20"/>
  <c r="M38" i="20"/>
  <c r="N38" i="20"/>
  <c r="O38" i="20"/>
  <c r="D38" i="21"/>
  <c r="E38" i="21"/>
  <c r="F38" i="21"/>
  <c r="G38" i="21"/>
  <c r="H38" i="21"/>
  <c r="I38" i="21"/>
  <c r="J38" i="21"/>
  <c r="K38" i="21"/>
  <c r="L38" i="21"/>
  <c r="M38" i="21"/>
  <c r="N38" i="21"/>
  <c r="O38" i="21"/>
  <c r="D38" i="12"/>
  <c r="E38" i="12"/>
  <c r="F38" i="12"/>
  <c r="G38" i="12"/>
  <c r="H38" i="12"/>
  <c r="I38" i="12"/>
  <c r="J38" i="12"/>
  <c r="K38" i="12"/>
  <c r="L38" i="12"/>
  <c r="M38" i="12"/>
  <c r="N38" i="12"/>
  <c r="O38" i="12"/>
  <c r="D38" i="13"/>
  <c r="E38" i="13"/>
  <c r="F38" i="13"/>
  <c r="G38" i="13"/>
  <c r="H38" i="13"/>
  <c r="I38" i="13"/>
  <c r="J38" i="13"/>
  <c r="K38" i="13"/>
  <c r="L38" i="13"/>
  <c r="M38" i="13"/>
  <c r="N38" i="13"/>
  <c r="O38" i="13"/>
  <c r="D38" i="14"/>
  <c r="E38" i="14"/>
  <c r="F38" i="14"/>
  <c r="G38" i="14"/>
  <c r="H38" i="14"/>
  <c r="I38" i="14"/>
  <c r="J38" i="14"/>
  <c r="K38" i="14"/>
  <c r="L38" i="14"/>
  <c r="M38" i="14"/>
  <c r="N38" i="14"/>
  <c r="O38" i="14"/>
  <c r="D38" i="15"/>
  <c r="E38" i="15"/>
  <c r="F38" i="15"/>
  <c r="G38" i="15"/>
  <c r="H38" i="15"/>
  <c r="I38" i="15"/>
  <c r="J38" i="15"/>
  <c r="K38" i="15"/>
  <c r="L38" i="15"/>
  <c r="M38" i="15"/>
  <c r="N38" i="15"/>
  <c r="O38" i="15"/>
  <c r="E19" i="17"/>
  <c r="D15" i="20" s="1"/>
  <c r="F19" i="17"/>
  <c r="E15" i="16" s="1"/>
  <c r="F15" i="15"/>
  <c r="H15" i="15"/>
  <c r="H15" i="14"/>
  <c r="H15" i="13"/>
  <c r="N15" i="13"/>
  <c r="F15" i="12"/>
  <c r="H15" i="12"/>
  <c r="H15" i="21"/>
  <c r="F15" i="20"/>
  <c r="H15" i="20"/>
  <c r="N15" i="20"/>
  <c r="H15" i="19"/>
  <c r="P32" i="16"/>
  <c r="D31" i="3" s="1"/>
  <c r="P33" i="16"/>
  <c r="D32" i="3" s="1"/>
  <c r="P34" i="16"/>
  <c r="D33" i="3" s="1"/>
  <c r="P35" i="16"/>
  <c r="D34" i="3" s="1"/>
  <c r="P32" i="13"/>
  <c r="G31" i="3" s="1"/>
  <c r="P32" i="12"/>
  <c r="H31" i="3" s="1"/>
  <c r="P32" i="21"/>
  <c r="I31" i="3" s="1"/>
  <c r="P32" i="20"/>
  <c r="J31" i="3" s="1"/>
  <c r="P32" i="19"/>
  <c r="K31" i="3" s="1"/>
  <c r="P33" i="14"/>
  <c r="F32" i="3" s="1"/>
  <c r="P33" i="13"/>
  <c r="G32" i="3" s="1"/>
  <c r="P33" i="12"/>
  <c r="H32" i="3" s="1"/>
  <c r="P33" i="21"/>
  <c r="I32" i="3" s="1"/>
  <c r="P33" i="20"/>
  <c r="J32" i="3" s="1"/>
  <c r="P33" i="19"/>
  <c r="K32" i="3" s="1"/>
  <c r="P34" i="14"/>
  <c r="F33" i="3" s="1"/>
  <c r="P34" i="13"/>
  <c r="G33" i="3" s="1"/>
  <c r="P34" i="12"/>
  <c r="H33" i="3" s="1"/>
  <c r="P34" i="21"/>
  <c r="I33" i="3" s="1"/>
  <c r="P34" i="20"/>
  <c r="J33" i="3" s="1"/>
  <c r="P34" i="19"/>
  <c r="K33" i="3" s="1"/>
  <c r="P35" i="14"/>
  <c r="F34" i="3" s="1"/>
  <c r="P35" i="13"/>
  <c r="G34" i="3" s="1"/>
  <c r="P35" i="12"/>
  <c r="H34" i="3" s="1"/>
  <c r="P35" i="21"/>
  <c r="I34" i="3" s="1"/>
  <c r="P35" i="20"/>
  <c r="J34" i="3" s="1"/>
  <c r="P35" i="19"/>
  <c r="K34" i="3" s="1"/>
  <c r="D7" i="17"/>
  <c r="J16" i="19" s="1"/>
  <c r="G46" i="1"/>
  <c r="D51" i="17" s="1"/>
  <c r="G55" i="1"/>
  <c r="D60" i="17" s="1"/>
  <c r="G47" i="1"/>
  <c r="D52" i="17" s="1"/>
  <c r="G41" i="13" s="1"/>
  <c r="G48" i="1"/>
  <c r="D53" i="17" s="1"/>
  <c r="G49" i="1"/>
  <c r="D54" i="17" s="1"/>
  <c r="E43" i="13" s="1"/>
  <c r="G50" i="1"/>
  <c r="D55" i="17" s="1"/>
  <c r="E51" i="1"/>
  <c r="G51" i="1" s="1"/>
  <c r="D56" i="17" s="1"/>
  <c r="G45" i="13" s="1"/>
  <c r="E52" i="1"/>
  <c r="G52" i="1" s="1"/>
  <c r="D57" i="17" s="1"/>
  <c r="J46" i="13" s="1"/>
  <c r="E53" i="1"/>
  <c r="G53" i="1" s="1"/>
  <c r="D58" i="17" s="1"/>
  <c r="E47" i="13" s="1"/>
  <c r="E54" i="1"/>
  <c r="G54" i="1" s="1"/>
  <c r="D59" i="17" s="1"/>
  <c r="F48" i="13" s="1"/>
  <c r="F46" i="13"/>
  <c r="H46" i="13"/>
  <c r="I43" i="13"/>
  <c r="I45" i="13"/>
  <c r="L46" i="13"/>
  <c r="N46" i="13"/>
  <c r="O46" i="13"/>
  <c r="D43" i="14"/>
  <c r="D46" i="14"/>
  <c r="E46" i="14"/>
  <c r="F46" i="14"/>
  <c r="G43" i="14"/>
  <c r="G46" i="14"/>
  <c r="H43" i="14"/>
  <c r="H46" i="14"/>
  <c r="I46" i="14"/>
  <c r="J46" i="14"/>
  <c r="K43" i="14"/>
  <c r="K46" i="14"/>
  <c r="L46" i="14"/>
  <c r="M46" i="14"/>
  <c r="N43" i="14"/>
  <c r="N46" i="14"/>
  <c r="O46" i="14"/>
  <c r="O48" i="14"/>
  <c r="D46" i="15"/>
  <c r="E45" i="15"/>
  <c r="E46" i="15"/>
  <c r="F46" i="15"/>
  <c r="G46" i="15"/>
  <c r="H43" i="15"/>
  <c r="H45" i="15"/>
  <c r="H46" i="15"/>
  <c r="I46" i="15"/>
  <c r="J46" i="15"/>
  <c r="K43" i="15"/>
  <c r="K46" i="15"/>
  <c r="L45" i="15"/>
  <c r="L46" i="15"/>
  <c r="M46" i="15"/>
  <c r="N46" i="15"/>
  <c r="O43" i="15"/>
  <c r="O45" i="15"/>
  <c r="O46" i="15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D13" i="10"/>
  <c r="G10" i="10" s="1"/>
  <c r="G9" i="10"/>
  <c r="G12" i="10" s="1"/>
  <c r="E81" i="8" s="1"/>
  <c r="G81" i="8" s="1"/>
  <c r="D15" i="10"/>
  <c r="E23" i="8" s="1"/>
  <c r="G23" i="8" s="1"/>
  <c r="G15" i="8"/>
  <c r="G16" i="8"/>
  <c r="E17" i="8"/>
  <c r="G17" i="8" s="1"/>
  <c r="G18" i="8"/>
  <c r="E20" i="8"/>
  <c r="E22" i="8" s="1"/>
  <c r="G22" i="8" s="1"/>
  <c r="G20" i="8"/>
  <c r="G27" i="8"/>
  <c r="G28" i="8"/>
  <c r="H28" i="8" s="1"/>
  <c r="G29" i="8"/>
  <c r="G30" i="8"/>
  <c r="G31" i="8"/>
  <c r="G32" i="8"/>
  <c r="G33" i="8"/>
  <c r="G34" i="8"/>
  <c r="H34" i="8" s="1"/>
  <c r="G35" i="8"/>
  <c r="H35" i="8" s="1"/>
  <c r="G36" i="8"/>
  <c r="H36" i="8" s="1"/>
  <c r="G37" i="8"/>
  <c r="G38" i="8"/>
  <c r="G39" i="8"/>
  <c r="G40" i="8"/>
  <c r="G41" i="8"/>
  <c r="G42" i="8"/>
  <c r="G43" i="8"/>
  <c r="H43" i="8" s="1"/>
  <c r="G44" i="8"/>
  <c r="H44" i="8" s="1"/>
  <c r="G45" i="8"/>
  <c r="G46" i="8"/>
  <c r="G47" i="8"/>
  <c r="G48" i="8"/>
  <c r="G49" i="8"/>
  <c r="G50" i="8"/>
  <c r="G51" i="8"/>
  <c r="G52" i="8"/>
  <c r="G53" i="8"/>
  <c r="G54" i="8"/>
  <c r="G55" i="8"/>
  <c r="G11" i="7"/>
  <c r="G12" i="7"/>
  <c r="G13" i="7"/>
  <c r="H13" i="7" s="1"/>
  <c r="G15" i="7"/>
  <c r="G16" i="7"/>
  <c r="G17" i="7"/>
  <c r="G18" i="7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11" i="4"/>
  <c r="G12" i="4"/>
  <c r="G13" i="4"/>
  <c r="F14" i="4"/>
  <c r="G14" i="4" s="1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H33" i="4" s="1"/>
  <c r="G34" i="4"/>
  <c r="G35" i="4"/>
  <c r="G36" i="4"/>
  <c r="G37" i="4"/>
  <c r="G38" i="4"/>
  <c r="G39" i="4"/>
  <c r="H39" i="4" s="1"/>
  <c r="D19" i="19"/>
  <c r="D19" i="14"/>
  <c r="D19" i="15"/>
  <c r="G13" i="1"/>
  <c r="D67" i="17" s="1"/>
  <c r="G19" i="1"/>
  <c r="D68" i="17" s="1"/>
  <c r="D99" i="17" s="1"/>
  <c r="G21" i="1"/>
  <c r="D70" i="17" s="1"/>
  <c r="E22" i="1"/>
  <c r="G22" i="1" s="1"/>
  <c r="D71" i="17" s="1"/>
  <c r="G23" i="1"/>
  <c r="D72" i="17" s="1"/>
  <c r="G24" i="1"/>
  <c r="D73" i="17" s="1"/>
  <c r="D104" i="17" s="1"/>
  <c r="G25" i="1"/>
  <c r="D74" i="17" s="1"/>
  <c r="G26" i="1"/>
  <c r="D75" i="17"/>
  <c r="D106" i="17" s="1"/>
  <c r="G27" i="1"/>
  <c r="D76" i="17" s="1"/>
  <c r="D293" i="17" s="1"/>
  <c r="G28" i="1"/>
  <c r="D77" i="17" s="1"/>
  <c r="D108" i="17" s="1"/>
  <c r="G29" i="1"/>
  <c r="D78" i="17" s="1"/>
  <c r="G31" i="1"/>
  <c r="D79" i="17" s="1"/>
  <c r="D110" i="17" s="1"/>
  <c r="G32" i="1"/>
  <c r="G33" i="1"/>
  <c r="G34" i="1"/>
  <c r="D80" i="17" s="1"/>
  <c r="G36" i="1"/>
  <c r="G37" i="1"/>
  <c r="G38" i="1"/>
  <c r="G39" i="1"/>
  <c r="G40" i="1"/>
  <c r="D82" i="17" s="1"/>
  <c r="G41" i="1"/>
  <c r="D83" i="17" s="1"/>
  <c r="G42" i="1"/>
  <c r="D84" i="17" s="1"/>
  <c r="G43" i="1"/>
  <c r="D85" i="17" s="1"/>
  <c r="G44" i="1"/>
  <c r="D86" i="17" s="1"/>
  <c r="G56" i="1"/>
  <c r="D87" i="17" s="1"/>
  <c r="H67" i="1"/>
  <c r="L3" i="1" s="1"/>
  <c r="D48" i="18" s="1"/>
  <c r="D88" i="17" s="1"/>
  <c r="D120" i="17"/>
  <c r="D121" i="17"/>
  <c r="D122" i="17"/>
  <c r="D151" i="17"/>
  <c r="D152" i="17"/>
  <c r="D153" i="17"/>
  <c r="D182" i="17"/>
  <c r="D183" i="17"/>
  <c r="D184" i="17"/>
  <c r="D213" i="17"/>
  <c r="D214" i="17"/>
  <c r="D215" i="17"/>
  <c r="D244" i="17"/>
  <c r="D245" i="17"/>
  <c r="D246" i="17"/>
  <c r="D275" i="17"/>
  <c r="D276" i="17"/>
  <c r="D277" i="17"/>
  <c r="D306" i="17"/>
  <c r="D307" i="17"/>
  <c r="D308" i="17"/>
  <c r="G122" i="5"/>
  <c r="G121" i="5"/>
  <c r="G123" i="5"/>
  <c r="G108" i="5"/>
  <c r="G107" i="5"/>
  <c r="G109" i="5"/>
  <c r="G93" i="5"/>
  <c r="G94" i="5"/>
  <c r="G95" i="5"/>
  <c r="G81" i="5"/>
  <c r="G80" i="5"/>
  <c r="G79" i="5"/>
  <c r="G78" i="5"/>
  <c r="G77" i="5"/>
  <c r="G65" i="5"/>
  <c r="G64" i="5"/>
  <c r="G63" i="5"/>
  <c r="G62" i="5"/>
  <c r="G61" i="5"/>
  <c r="G46" i="5"/>
  <c r="G47" i="5"/>
  <c r="G45" i="5"/>
  <c r="G42" i="6"/>
  <c r="G36" i="6"/>
  <c r="G37" i="6"/>
  <c r="G38" i="6"/>
  <c r="G39" i="6"/>
  <c r="G40" i="6"/>
  <c r="G41" i="6"/>
  <c r="G43" i="6"/>
  <c r="G44" i="6"/>
  <c r="G14" i="6"/>
  <c r="G13" i="6"/>
  <c r="G12" i="6"/>
  <c r="G15" i="6"/>
  <c r="G16" i="6"/>
  <c r="H16" i="6" s="1"/>
  <c r="G17" i="6"/>
  <c r="G18" i="6"/>
  <c r="G19" i="6"/>
  <c r="H19" i="6" s="1"/>
  <c r="G20" i="6"/>
  <c r="G21" i="6"/>
  <c r="G22" i="6"/>
  <c r="G23" i="6"/>
  <c r="G59" i="9"/>
  <c r="G60" i="9"/>
  <c r="G61" i="9"/>
  <c r="G62" i="9"/>
  <c r="G63" i="9"/>
  <c r="G20" i="9"/>
  <c r="G21" i="9"/>
  <c r="G22" i="9"/>
  <c r="G23" i="9"/>
  <c r="H13" i="4"/>
  <c r="G26" i="10"/>
  <c r="D26" i="10"/>
  <c r="D14" i="10"/>
  <c r="G102" i="7"/>
  <c r="G101" i="7"/>
  <c r="G79" i="7"/>
  <c r="G55" i="7"/>
  <c r="G35" i="7"/>
  <c r="H35" i="7" s="1"/>
  <c r="G34" i="7"/>
  <c r="H34" i="7" s="1"/>
  <c r="G98" i="7"/>
  <c r="H98" i="7" s="1"/>
  <c r="G99" i="7"/>
  <c r="H99" i="7" s="1"/>
  <c r="G100" i="7"/>
  <c r="G103" i="7"/>
  <c r="G104" i="7"/>
  <c r="G105" i="7"/>
  <c r="G106" i="7"/>
  <c r="G76" i="7"/>
  <c r="G77" i="7"/>
  <c r="G78" i="7"/>
  <c r="G80" i="7"/>
  <c r="G81" i="7"/>
  <c r="G82" i="7"/>
  <c r="G83" i="7"/>
  <c r="G59" i="7"/>
  <c r="G52" i="7"/>
  <c r="G53" i="7"/>
  <c r="G54" i="7"/>
  <c r="G56" i="7"/>
  <c r="G57" i="7"/>
  <c r="G58" i="7"/>
  <c r="G33" i="7"/>
  <c r="H33" i="7" s="1"/>
  <c r="G32" i="7"/>
  <c r="H32" i="7" s="1"/>
  <c r="G36" i="7"/>
  <c r="H36" i="7" s="1"/>
  <c r="G37" i="7"/>
  <c r="G90" i="8"/>
  <c r="E76" i="8"/>
  <c r="G76" i="8" s="1"/>
  <c r="G88" i="8"/>
  <c r="H88" i="8" s="1"/>
  <c r="G73" i="8"/>
  <c r="H73" i="8" s="1"/>
  <c r="G74" i="8"/>
  <c r="G75" i="8"/>
  <c r="G77" i="8"/>
  <c r="G78" i="8"/>
  <c r="G82" i="8"/>
  <c r="G83" i="8"/>
  <c r="G84" i="8"/>
  <c r="H84" i="8" s="1"/>
  <c r="G85" i="8"/>
  <c r="G86" i="8"/>
  <c r="G87" i="8"/>
  <c r="G89" i="8"/>
  <c r="G91" i="8"/>
  <c r="G92" i="8"/>
  <c r="G93" i="8"/>
  <c r="H16" i="8"/>
  <c r="H18" i="8"/>
  <c r="H27" i="8"/>
  <c r="H37" i="8"/>
  <c r="H45" i="8"/>
  <c r="H46" i="8"/>
  <c r="H53" i="8"/>
  <c r="H55" i="8"/>
  <c r="E14" i="2"/>
  <c r="E45" i="2" s="1"/>
  <c r="D26" i="2"/>
  <c r="E33" i="2" s="1"/>
  <c r="E31" i="2"/>
  <c r="E44" i="2"/>
  <c r="F44" i="2"/>
  <c r="G44" i="2" s="1"/>
  <c r="F12" i="2"/>
  <c r="F16" i="2" s="1"/>
  <c r="G82" i="1"/>
  <c r="H82" i="1" s="1"/>
  <c r="Q3" i="1" s="1"/>
  <c r="D54" i="18" s="1"/>
  <c r="H83" i="1"/>
  <c r="I83" i="1" s="1"/>
  <c r="R3" i="1"/>
  <c r="D55" i="18" s="1"/>
  <c r="H71" i="1"/>
  <c r="P3" i="1" s="1"/>
  <c r="D52" i="18" s="1"/>
  <c r="H70" i="1"/>
  <c r="O3" i="1" s="1"/>
  <c r="D51" i="18" s="1"/>
  <c r="H68" i="1"/>
  <c r="M3" i="1" s="1"/>
  <c r="D49" i="18" s="1"/>
  <c r="H69" i="1"/>
  <c r="N3" i="1" s="1"/>
  <c r="D50" i="18" s="1"/>
  <c r="G14" i="1"/>
  <c r="G15" i="1"/>
  <c r="G16" i="1"/>
  <c r="G17" i="1"/>
  <c r="H17" i="1" s="1"/>
  <c r="G18" i="1"/>
  <c r="H32" i="1"/>
  <c r="H41" i="1"/>
  <c r="H39" i="1"/>
  <c r="O20" i="17"/>
  <c r="G20" i="17"/>
  <c r="E48" i="18" l="1"/>
  <c r="H50" i="1"/>
  <c r="D81" i="17"/>
  <c r="N45" i="15"/>
  <c r="M45" i="14"/>
  <c r="N15" i="21"/>
  <c r="J45" i="15"/>
  <c r="M43" i="14"/>
  <c r="F45" i="14"/>
  <c r="N15" i="19"/>
  <c r="N15" i="14"/>
  <c r="H23" i="1"/>
  <c r="J43" i="15"/>
  <c r="G43" i="15"/>
  <c r="I43" i="14"/>
  <c r="M45" i="13"/>
  <c r="F15" i="21"/>
  <c r="D43" i="15"/>
  <c r="J43" i="14"/>
  <c r="O43" i="13"/>
  <c r="F15" i="13"/>
  <c r="H57" i="7"/>
  <c r="N43" i="15"/>
  <c r="G45" i="15"/>
  <c r="E45" i="13"/>
  <c r="I71" i="1"/>
  <c r="M43" i="15"/>
  <c r="O45" i="14"/>
  <c r="L45" i="14"/>
  <c r="E45" i="14"/>
  <c r="M43" i="13"/>
  <c r="F15" i="19"/>
  <c r="N15" i="12"/>
  <c r="F15" i="14"/>
  <c r="I43" i="15"/>
  <c r="F43" i="15"/>
  <c r="O43" i="14"/>
  <c r="L43" i="14"/>
  <c r="H45" i="14"/>
  <c r="E43" i="14"/>
  <c r="N16" i="20"/>
  <c r="O15" i="20"/>
  <c r="D264" i="17"/>
  <c r="D140" i="17"/>
  <c r="F44" i="16"/>
  <c r="M44" i="13"/>
  <c r="G44" i="15"/>
  <c r="N44" i="15"/>
  <c r="L44" i="13"/>
  <c r="E44" i="14"/>
  <c r="L44" i="14"/>
  <c r="F42" i="16"/>
  <c r="I42" i="19"/>
  <c r="D42" i="21"/>
  <c r="L42" i="21"/>
  <c r="H42" i="12"/>
  <c r="D42" i="13"/>
  <c r="D42" i="14"/>
  <c r="G42" i="15"/>
  <c r="M42" i="15"/>
  <c r="N42" i="12"/>
  <c r="J42" i="19"/>
  <c r="E42" i="21"/>
  <c r="M42" i="21"/>
  <c r="I42" i="12"/>
  <c r="E42" i="13"/>
  <c r="J42" i="13"/>
  <c r="F42" i="14"/>
  <c r="H42" i="15"/>
  <c r="M42" i="19"/>
  <c r="F42" i="21"/>
  <c r="N42" i="21"/>
  <c r="J42" i="12"/>
  <c r="K42" i="13"/>
  <c r="N42" i="13"/>
  <c r="K42" i="14"/>
  <c r="O42" i="14"/>
  <c r="E42" i="15"/>
  <c r="K42" i="15"/>
  <c r="O42" i="15"/>
  <c r="J42" i="21"/>
  <c r="J42" i="20"/>
  <c r="G42" i="21"/>
  <c r="O42" i="21"/>
  <c r="K42" i="12"/>
  <c r="L42" i="13"/>
  <c r="E42" i="14"/>
  <c r="M42" i="14"/>
  <c r="N42" i="20"/>
  <c r="L42" i="20"/>
  <c r="H42" i="21"/>
  <c r="D42" i="12"/>
  <c r="L42" i="12"/>
  <c r="G42" i="13"/>
  <c r="O42" i="13"/>
  <c r="G42" i="14"/>
  <c r="I42" i="14"/>
  <c r="N42" i="15"/>
  <c r="M42" i="13"/>
  <c r="M42" i="20"/>
  <c r="I42" i="21"/>
  <c r="E42" i="12"/>
  <c r="P42" i="12" s="1"/>
  <c r="H41" i="3" s="1"/>
  <c r="M42" i="12"/>
  <c r="L42" i="14"/>
  <c r="F42" i="15"/>
  <c r="J42" i="15"/>
  <c r="L42" i="15"/>
  <c r="F42" i="12"/>
  <c r="F42" i="19"/>
  <c r="O42" i="20"/>
  <c r="K42" i="21"/>
  <c r="G42" i="12"/>
  <c r="O42" i="12"/>
  <c r="H42" i="14"/>
  <c r="N42" i="14"/>
  <c r="D42" i="15"/>
  <c r="I42" i="13"/>
  <c r="G12" i="2"/>
  <c r="F35" i="2" s="1"/>
  <c r="G35" i="2" s="1"/>
  <c r="H38" i="6"/>
  <c r="E14" i="8"/>
  <c r="G14" i="8" s="1"/>
  <c r="H14" i="8" s="1"/>
  <c r="O48" i="13"/>
  <c r="E16" i="21"/>
  <c r="P29" i="21"/>
  <c r="I28" i="3" s="1"/>
  <c r="E20" i="1"/>
  <c r="G20" i="1" s="1"/>
  <c r="D69" i="17" s="1"/>
  <c r="L92" i="17" s="1"/>
  <c r="G48" i="15"/>
  <c r="L53" i="16"/>
  <c r="H20" i="9"/>
  <c r="I67" i="1"/>
  <c r="H44" i="1"/>
  <c r="H28" i="1"/>
  <c r="I48" i="15"/>
  <c r="J15" i="20"/>
  <c r="H54" i="8"/>
  <c r="G64" i="9"/>
  <c r="G53" i="9" s="1"/>
  <c r="M3" i="9" s="1"/>
  <c r="D14" i="18" s="1"/>
  <c r="E14" i="18" s="1"/>
  <c r="G82" i="5"/>
  <c r="G71" i="5" s="1"/>
  <c r="N3" i="5" s="1"/>
  <c r="D30" i="18" s="1"/>
  <c r="M47" i="15"/>
  <c r="H48" i="14"/>
  <c r="F13" i="2"/>
  <c r="G13" i="2" s="1"/>
  <c r="G110" i="5"/>
  <c r="G101" i="5" s="1"/>
  <c r="P3" i="5" s="1"/>
  <c r="D32" i="18" s="1"/>
  <c r="L48" i="14"/>
  <c r="O16" i="14"/>
  <c r="H37" i="7"/>
  <c r="H18" i="4"/>
  <c r="N48" i="15"/>
  <c r="J48" i="15"/>
  <c r="J48" i="14"/>
  <c r="F16" i="14"/>
  <c r="K20" i="17"/>
  <c r="F14" i="2"/>
  <c r="G14" i="2" s="1"/>
  <c r="F15" i="2"/>
  <c r="G45" i="6"/>
  <c r="G29" i="6" s="1"/>
  <c r="L3" i="6" s="1"/>
  <c r="D26" i="18" s="1"/>
  <c r="G66" i="5"/>
  <c r="G55" i="5" s="1"/>
  <c r="M3" i="5" s="1"/>
  <c r="D29" i="18" s="1"/>
  <c r="E29" i="18" s="1"/>
  <c r="G48" i="9"/>
  <c r="E48" i="14"/>
  <c r="N16" i="12"/>
  <c r="J15" i="21"/>
  <c r="H17" i="5"/>
  <c r="N15" i="15"/>
  <c r="P38" i="19"/>
  <c r="K37" i="3" s="1"/>
  <c r="L15" i="19"/>
  <c r="P26" i="15"/>
  <c r="E25" i="3" s="1"/>
  <c r="P26" i="19"/>
  <c r="K25" i="3" s="1"/>
  <c r="P29" i="19"/>
  <c r="K28" i="3" s="1"/>
  <c r="D15" i="16"/>
  <c r="D15" i="12"/>
  <c r="D291" i="17"/>
  <c r="D229" i="17"/>
  <c r="H33" i="5"/>
  <c r="H79" i="7"/>
  <c r="H83" i="7"/>
  <c r="H52" i="8"/>
  <c r="H42" i="8"/>
  <c r="H33" i="8"/>
  <c r="H15" i="8"/>
  <c r="H36" i="4"/>
  <c r="H23" i="8"/>
  <c r="H51" i="8"/>
  <c r="H50" i="8"/>
  <c r="H40" i="8"/>
  <c r="H31" i="8"/>
  <c r="H29" i="4"/>
  <c r="H22" i="6"/>
  <c r="H108" i="5"/>
  <c r="H22" i="8"/>
  <c r="H41" i="8"/>
  <c r="H17" i="8"/>
  <c r="E32" i="18"/>
  <c r="H20" i="8"/>
  <c r="H48" i="8"/>
  <c r="H39" i="8"/>
  <c r="H30" i="8"/>
  <c r="H49" i="8"/>
  <c r="H24" i="4"/>
  <c r="H123" i="5"/>
  <c r="H32" i="8"/>
  <c r="H47" i="8"/>
  <c r="H38" i="8"/>
  <c r="H29" i="8"/>
  <c r="G13" i="9"/>
  <c r="G34" i="9" s="1"/>
  <c r="G29" i="9"/>
  <c r="L3" i="9"/>
  <c r="D13" i="18" s="1"/>
  <c r="I15" i="16"/>
  <c r="I15" i="14"/>
  <c r="J20" i="17"/>
  <c r="I15" i="12"/>
  <c r="I15" i="19"/>
  <c r="I15" i="20"/>
  <c r="I15" i="21"/>
  <c r="I15" i="15"/>
  <c r="I15" i="13"/>
  <c r="D297" i="17"/>
  <c r="D111" i="17"/>
  <c r="D204" i="17"/>
  <c r="D266" i="17"/>
  <c r="D173" i="17"/>
  <c r="D142" i="17"/>
  <c r="D235" i="17"/>
  <c r="D49" i="16"/>
  <c r="I49" i="16"/>
  <c r="D49" i="20"/>
  <c r="H49" i="21"/>
  <c r="L49" i="12"/>
  <c r="F49" i="13"/>
  <c r="H49" i="14"/>
  <c r="I49" i="15"/>
  <c r="D49" i="21"/>
  <c r="J49" i="19"/>
  <c r="N49" i="20"/>
  <c r="F49" i="12"/>
  <c r="O49" i="13"/>
  <c r="J49" i="14"/>
  <c r="E49" i="15"/>
  <c r="L49" i="15"/>
  <c r="D49" i="19"/>
  <c r="H49" i="20"/>
  <c r="L49" i="21"/>
  <c r="D49" i="13"/>
  <c r="G49" i="13"/>
  <c r="L49" i="13"/>
  <c r="N49" i="19"/>
  <c r="F49" i="21"/>
  <c r="J49" i="12"/>
  <c r="N49" i="16"/>
  <c r="D49" i="14"/>
  <c r="H49" i="19"/>
  <c r="L49" i="20"/>
  <c r="D49" i="12"/>
  <c r="F49" i="14"/>
  <c r="K49" i="14"/>
  <c r="F49" i="20"/>
  <c r="J49" i="21"/>
  <c r="N49" i="12"/>
  <c r="H49" i="13"/>
  <c r="L49" i="19"/>
  <c r="H49" i="12"/>
  <c r="F49" i="19"/>
  <c r="J49" i="20"/>
  <c r="N49" i="21"/>
  <c r="O49" i="14"/>
  <c r="J49" i="15"/>
  <c r="E49" i="13"/>
  <c r="F49" i="15"/>
  <c r="D160" i="17"/>
  <c r="F40" i="16"/>
  <c r="D40" i="19"/>
  <c r="G40" i="19"/>
  <c r="H40" i="20"/>
  <c r="K40" i="20"/>
  <c r="L40" i="21"/>
  <c r="O40" i="21"/>
  <c r="D40" i="13"/>
  <c r="N40" i="13"/>
  <c r="D40" i="15"/>
  <c r="K40" i="15"/>
  <c r="N40" i="19"/>
  <c r="E40" i="20"/>
  <c r="F40" i="21"/>
  <c r="I40" i="21"/>
  <c r="J40" i="12"/>
  <c r="M40" i="12"/>
  <c r="I40" i="14"/>
  <c r="O40" i="14"/>
  <c r="J40" i="15"/>
  <c r="I40" i="16"/>
  <c r="H40" i="19"/>
  <c r="K40" i="19"/>
  <c r="L40" i="20"/>
  <c r="O40" i="20"/>
  <c r="D40" i="12"/>
  <c r="G40" i="12"/>
  <c r="J40" i="13"/>
  <c r="H40" i="14"/>
  <c r="M40" i="15"/>
  <c r="M40" i="16"/>
  <c r="E40" i="19"/>
  <c r="F40" i="20"/>
  <c r="I40" i="20"/>
  <c r="J40" i="21"/>
  <c r="M40" i="21"/>
  <c r="N40" i="12"/>
  <c r="E40" i="13"/>
  <c r="H40" i="13"/>
  <c r="M40" i="13"/>
  <c r="D40" i="20"/>
  <c r="O40" i="12"/>
  <c r="I40" i="13"/>
  <c r="H61" i="17"/>
  <c r="L40" i="19"/>
  <c r="O40" i="19"/>
  <c r="D40" i="21"/>
  <c r="G40" i="21"/>
  <c r="H40" i="12"/>
  <c r="K40" i="12"/>
  <c r="K40" i="13"/>
  <c r="O40" i="13"/>
  <c r="N40" i="14"/>
  <c r="E40" i="15"/>
  <c r="I40" i="15"/>
  <c r="L40" i="15"/>
  <c r="P61" i="17"/>
  <c r="K40" i="21"/>
  <c r="F40" i="19"/>
  <c r="I40" i="19"/>
  <c r="J40" i="20"/>
  <c r="M40" i="20"/>
  <c r="N40" i="21"/>
  <c r="E40" i="12"/>
  <c r="G40" i="14"/>
  <c r="J40" i="14"/>
  <c r="M61" i="17"/>
  <c r="L40" i="13"/>
  <c r="J40" i="19"/>
  <c r="M40" i="19"/>
  <c r="N40" i="20"/>
  <c r="E40" i="21"/>
  <c r="F40" i="12"/>
  <c r="I40" i="12"/>
  <c r="E40" i="14"/>
  <c r="F40" i="14"/>
  <c r="L40" i="14"/>
  <c r="M40" i="14"/>
  <c r="G40" i="15"/>
  <c r="H40" i="15"/>
  <c r="N40" i="15"/>
  <c r="O40" i="15"/>
  <c r="E61" i="17"/>
  <c r="G40" i="20"/>
  <c r="H40" i="21"/>
  <c r="L40" i="12"/>
  <c r="F45" i="2"/>
  <c r="G45" i="2" s="1"/>
  <c r="E34" i="2"/>
  <c r="E35" i="2" s="1"/>
  <c r="F47" i="2" s="1"/>
  <c r="D103" i="17"/>
  <c r="D134" i="17"/>
  <c r="P20" i="17"/>
  <c r="G48" i="5"/>
  <c r="G39" i="5" s="1"/>
  <c r="L3" i="5" s="1"/>
  <c r="D28" i="18" s="1"/>
  <c r="E28" i="18" s="1"/>
  <c r="D295" i="17"/>
  <c r="G42" i="20"/>
  <c r="D42" i="20"/>
  <c r="O42" i="16"/>
  <c r="E16" i="15"/>
  <c r="E16" i="13"/>
  <c r="O16" i="20"/>
  <c r="O14" i="20" s="1"/>
  <c r="P38" i="21"/>
  <c r="I37" i="3" s="1"/>
  <c r="K53" i="16"/>
  <c r="H56" i="7"/>
  <c r="H44" i="6"/>
  <c r="H81" i="5"/>
  <c r="E19" i="9"/>
  <c r="G19" i="9" s="1"/>
  <c r="H19" i="9" s="1"/>
  <c r="G24" i="6"/>
  <c r="G5" i="6" s="1"/>
  <c r="K3" i="6" s="1"/>
  <c r="D25" i="18" s="1"/>
  <c r="N47" i="15"/>
  <c r="L41" i="15"/>
  <c r="G47" i="15"/>
  <c r="E41" i="15"/>
  <c r="L47" i="14"/>
  <c r="E47" i="14"/>
  <c r="P46" i="14"/>
  <c r="F45" i="3" s="1"/>
  <c r="O42" i="19"/>
  <c r="L42" i="19"/>
  <c r="N42" i="16"/>
  <c r="N16" i="14"/>
  <c r="M16" i="12"/>
  <c r="M16" i="20"/>
  <c r="M14" i="20" s="1"/>
  <c r="P38" i="15"/>
  <c r="E37" i="3" s="1"/>
  <c r="P27" i="13"/>
  <c r="G26" i="3" s="1"/>
  <c r="D19" i="20"/>
  <c r="P25" i="14"/>
  <c r="F24" i="3" s="1"/>
  <c r="E37" i="16"/>
  <c r="I53" i="16"/>
  <c r="H14" i="6"/>
  <c r="H121" i="5"/>
  <c r="H53" i="1"/>
  <c r="D171" i="17"/>
  <c r="E26" i="8"/>
  <c r="G26" i="8" s="1"/>
  <c r="H26" i="8" s="1"/>
  <c r="I42" i="20"/>
  <c r="F42" i="20"/>
  <c r="E42" i="19"/>
  <c r="M42" i="16"/>
  <c r="M16" i="14"/>
  <c r="K16" i="12"/>
  <c r="J16" i="20"/>
  <c r="J14" i="20" s="1"/>
  <c r="O15" i="19"/>
  <c r="P38" i="13"/>
  <c r="G37" i="3" s="1"/>
  <c r="P39" i="12"/>
  <c r="H38" i="3" s="1"/>
  <c r="P30" i="21"/>
  <c r="I29" i="3" s="1"/>
  <c r="P30" i="15"/>
  <c r="E29" i="3" s="1"/>
  <c r="P23" i="13"/>
  <c r="G22" i="3" s="1"/>
  <c r="H53" i="16"/>
  <c r="P62" i="16"/>
  <c r="D6" i="15" s="1"/>
  <c r="H13" i="9"/>
  <c r="H34" i="9" s="1"/>
  <c r="H22" i="9"/>
  <c r="E25" i="8"/>
  <c r="G25" i="8" s="1"/>
  <c r="H25" i="8" s="1"/>
  <c r="N47" i="13"/>
  <c r="K42" i="19"/>
  <c r="H42" i="19"/>
  <c r="L42" i="16"/>
  <c r="J16" i="14"/>
  <c r="J16" i="12"/>
  <c r="I16" i="20"/>
  <c r="D15" i="21"/>
  <c r="P39" i="14"/>
  <c r="F38" i="3" s="1"/>
  <c r="P39" i="20"/>
  <c r="J38" i="3" s="1"/>
  <c r="P30" i="19"/>
  <c r="K29" i="3" s="1"/>
  <c r="P30" i="13"/>
  <c r="G29" i="3" s="1"/>
  <c r="P28" i="19"/>
  <c r="K27" i="3" s="1"/>
  <c r="P27" i="19"/>
  <c r="K26" i="3" s="1"/>
  <c r="P29" i="14"/>
  <c r="F28" i="3" s="1"/>
  <c r="O53" i="16"/>
  <c r="H109" i="5"/>
  <c r="H47" i="5"/>
  <c r="H17" i="4"/>
  <c r="E24" i="8"/>
  <c r="G24" i="8" s="1"/>
  <c r="H24" i="8" s="1"/>
  <c r="F41" i="15"/>
  <c r="K41" i="14"/>
  <c r="D41" i="14"/>
  <c r="E42" i="20"/>
  <c r="N42" i="19"/>
  <c r="K42" i="16"/>
  <c r="I16" i="14"/>
  <c r="I16" i="12"/>
  <c r="I14" i="12" s="1"/>
  <c r="G16" i="20"/>
  <c r="P29" i="13"/>
  <c r="G28" i="3" s="1"/>
  <c r="P28" i="21"/>
  <c r="I27" i="3" s="1"/>
  <c r="P28" i="13"/>
  <c r="G27" i="3" s="1"/>
  <c r="P27" i="21"/>
  <c r="I26" i="3" s="1"/>
  <c r="P26" i="16"/>
  <c r="D25" i="3" s="1"/>
  <c r="P23" i="19"/>
  <c r="K22" i="3" s="1"/>
  <c r="P38" i="16"/>
  <c r="D37" i="3" s="1"/>
  <c r="N53" i="16"/>
  <c r="H24" i="1"/>
  <c r="I82" i="1"/>
  <c r="D198" i="17"/>
  <c r="G34" i="5"/>
  <c r="G5" i="5" s="1"/>
  <c r="K3" i="5" s="1"/>
  <c r="D27" i="18" s="1"/>
  <c r="G47" i="14"/>
  <c r="K42" i="20"/>
  <c r="H42" i="20"/>
  <c r="G42" i="19"/>
  <c r="D42" i="19"/>
  <c r="J42" i="16"/>
  <c r="G16" i="14"/>
  <c r="F16" i="12"/>
  <c r="F16" i="20"/>
  <c r="F14" i="20" s="1"/>
  <c r="F20" i="17"/>
  <c r="P26" i="21"/>
  <c r="I25" i="3" s="1"/>
  <c r="P25" i="16"/>
  <c r="D24" i="3" s="1"/>
  <c r="M53" i="16"/>
  <c r="H102" i="7"/>
  <c r="H17" i="7"/>
  <c r="H93" i="5"/>
  <c r="H18" i="5"/>
  <c r="E15" i="2"/>
  <c r="D105" i="17"/>
  <c r="N47" i="14"/>
  <c r="F41" i="14"/>
  <c r="P23" i="21"/>
  <c r="I22" i="3" s="1"/>
  <c r="P23" i="20"/>
  <c r="J22" i="3" s="1"/>
  <c r="H40" i="9"/>
  <c r="H63" i="9"/>
  <c r="H93" i="8"/>
  <c r="M15" i="16"/>
  <c r="M15" i="15"/>
  <c r="M15" i="20"/>
  <c r="M15" i="13"/>
  <c r="N20" i="17"/>
  <c r="M15" i="21"/>
  <c r="M15" i="14"/>
  <c r="M15" i="19"/>
  <c r="M15" i="12"/>
  <c r="M14" i="12" s="1"/>
  <c r="G15" i="16"/>
  <c r="G15" i="13"/>
  <c r="H20" i="17"/>
  <c r="G15" i="21"/>
  <c r="G15" i="14"/>
  <c r="G14" i="14" s="1"/>
  <c r="G15" i="19"/>
  <c r="G15" i="12"/>
  <c r="G15" i="15"/>
  <c r="G15" i="20"/>
  <c r="G14" i="20" s="1"/>
  <c r="K15" i="16"/>
  <c r="K15" i="19"/>
  <c r="L20" i="17"/>
  <c r="K15" i="13"/>
  <c r="K15" i="12"/>
  <c r="K14" i="12" s="1"/>
  <c r="K15" i="15"/>
  <c r="K15" i="20"/>
  <c r="K15" i="21"/>
  <c r="K15" i="14"/>
  <c r="P39" i="13"/>
  <c r="G38" i="3" s="1"/>
  <c r="P29" i="16"/>
  <c r="D28" i="3" s="1"/>
  <c r="P26" i="12"/>
  <c r="H25" i="3" s="1"/>
  <c r="P26" i="13"/>
  <c r="G25" i="3" s="1"/>
  <c r="G61" i="17"/>
  <c r="O61" i="17"/>
  <c r="D191" i="17"/>
  <c r="D165" i="17"/>
  <c r="D136" i="17"/>
  <c r="D107" i="17"/>
  <c r="M48" i="15"/>
  <c r="K44" i="15"/>
  <c r="I41" i="15"/>
  <c r="F47" i="15"/>
  <c r="D44" i="15"/>
  <c r="N48" i="14"/>
  <c r="K47" i="14"/>
  <c r="J41" i="14"/>
  <c r="I44" i="14"/>
  <c r="G48" i="14"/>
  <c r="D47" i="14"/>
  <c r="N48" i="13"/>
  <c r="M44" i="16"/>
  <c r="D15" i="19"/>
  <c r="N14" i="12"/>
  <c r="F14" i="12"/>
  <c r="L15" i="14"/>
  <c r="O15" i="15"/>
  <c r="P39" i="15"/>
  <c r="E38" i="3" s="1"/>
  <c r="P29" i="12"/>
  <c r="H28" i="3" s="1"/>
  <c r="P26" i="20"/>
  <c r="J25" i="3" s="1"/>
  <c r="F61" i="17"/>
  <c r="N61" i="17"/>
  <c r="I20" i="17"/>
  <c r="D222" i="17"/>
  <c r="D196" i="17"/>
  <c r="D167" i="17"/>
  <c r="D138" i="17"/>
  <c r="D109" i="17"/>
  <c r="D19" i="21"/>
  <c r="O44" i="15"/>
  <c r="M49" i="15"/>
  <c r="M41" i="15"/>
  <c r="L43" i="15"/>
  <c r="K45" i="15"/>
  <c r="J47" i="15"/>
  <c r="I42" i="15"/>
  <c r="H44" i="15"/>
  <c r="F48" i="15"/>
  <c r="F40" i="15"/>
  <c r="E43" i="15"/>
  <c r="D45" i="15"/>
  <c r="O47" i="14"/>
  <c r="N49" i="14"/>
  <c r="N41" i="14"/>
  <c r="M44" i="14"/>
  <c r="K48" i="14"/>
  <c r="K40" i="14"/>
  <c r="J42" i="14"/>
  <c r="P42" i="14" s="1"/>
  <c r="F41" i="3" s="1"/>
  <c r="I45" i="14"/>
  <c r="H47" i="14"/>
  <c r="G49" i="14"/>
  <c r="G41" i="14"/>
  <c r="F43" i="14"/>
  <c r="D48" i="14"/>
  <c r="D40" i="14"/>
  <c r="N49" i="13"/>
  <c r="M49" i="13"/>
  <c r="L48" i="13"/>
  <c r="K43" i="13"/>
  <c r="I49" i="13"/>
  <c r="H42" i="13"/>
  <c r="F42" i="13"/>
  <c r="D44" i="13"/>
  <c r="N44" i="12"/>
  <c r="L44" i="12"/>
  <c r="J44" i="12"/>
  <c r="H44" i="12"/>
  <c r="F44" i="12"/>
  <c r="D44" i="12"/>
  <c r="N44" i="21"/>
  <c r="L44" i="21"/>
  <c r="J44" i="21"/>
  <c r="H44" i="21"/>
  <c r="F44" i="21"/>
  <c r="D44" i="21"/>
  <c r="N44" i="20"/>
  <c r="L44" i="20"/>
  <c r="J44" i="20"/>
  <c r="H44" i="20"/>
  <c r="F44" i="20"/>
  <c r="D44" i="20"/>
  <c r="N44" i="19"/>
  <c r="L44" i="19"/>
  <c r="J44" i="19"/>
  <c r="H44" i="19"/>
  <c r="F44" i="19"/>
  <c r="D44" i="19"/>
  <c r="M49" i="16"/>
  <c r="J49" i="16"/>
  <c r="D16" i="15"/>
  <c r="H16" i="14"/>
  <c r="H14" i="14" s="1"/>
  <c r="L16" i="12"/>
  <c r="D16" i="21"/>
  <c r="H16" i="20"/>
  <c r="H14" i="20" s="1"/>
  <c r="L15" i="21"/>
  <c r="O15" i="12"/>
  <c r="J15" i="13"/>
  <c r="D15" i="14"/>
  <c r="P38" i="20"/>
  <c r="J37" i="3" s="1"/>
  <c r="P29" i="20"/>
  <c r="J28" i="3" s="1"/>
  <c r="P27" i="16"/>
  <c r="D26" i="3" s="1"/>
  <c r="P23" i="15"/>
  <c r="E22" i="3" s="1"/>
  <c r="D253" i="17"/>
  <c r="L44" i="15"/>
  <c r="F44" i="14"/>
  <c r="N14" i="14"/>
  <c r="P38" i="12"/>
  <c r="H37" i="3" s="1"/>
  <c r="P30" i="16"/>
  <c r="D29" i="3" s="1"/>
  <c r="D19" i="13"/>
  <c r="K47" i="15"/>
  <c r="I47" i="14"/>
  <c r="H41" i="14"/>
  <c r="K47" i="13"/>
  <c r="K44" i="16"/>
  <c r="L15" i="13"/>
  <c r="K61" i="17"/>
  <c r="H92" i="17"/>
  <c r="D289" i="17"/>
  <c r="D260" i="17"/>
  <c r="D231" i="17"/>
  <c r="D202" i="17"/>
  <c r="O47" i="15"/>
  <c r="N49" i="15"/>
  <c r="N41" i="15"/>
  <c r="M44" i="15"/>
  <c r="K48" i="15"/>
  <c r="I45" i="15"/>
  <c r="H47" i="15"/>
  <c r="G49" i="15"/>
  <c r="G41" i="15"/>
  <c r="D48" i="15"/>
  <c r="N44" i="14"/>
  <c r="M47" i="14"/>
  <c r="L49" i="14"/>
  <c r="L41" i="14"/>
  <c r="J45" i="14"/>
  <c r="I48" i="14"/>
  <c r="G44" i="14"/>
  <c r="E49" i="14"/>
  <c r="E41" i="14"/>
  <c r="N44" i="13"/>
  <c r="M41" i="13"/>
  <c r="K49" i="13"/>
  <c r="J44" i="13"/>
  <c r="E41" i="13"/>
  <c r="K49" i="16"/>
  <c r="F49" i="16"/>
  <c r="K16" i="14"/>
  <c r="O16" i="12"/>
  <c r="G16" i="12"/>
  <c r="K16" i="20"/>
  <c r="L15" i="20"/>
  <c r="O15" i="21"/>
  <c r="J15" i="12"/>
  <c r="J14" i="12" s="1"/>
  <c r="D15" i="13"/>
  <c r="D15" i="15"/>
  <c r="P30" i="20"/>
  <c r="J29" i="3" s="1"/>
  <c r="P28" i="16"/>
  <c r="D27" i="3" s="1"/>
  <c r="P27" i="14"/>
  <c r="F26" i="3" s="1"/>
  <c r="E44" i="15"/>
  <c r="F14" i="14"/>
  <c r="L61" i="17"/>
  <c r="D284" i="17"/>
  <c r="I44" i="15"/>
  <c r="D47" i="15"/>
  <c r="O41" i="14"/>
  <c r="J44" i="14"/>
  <c r="O15" i="14"/>
  <c r="O14" i="14" s="1"/>
  <c r="J15" i="15"/>
  <c r="P38" i="14"/>
  <c r="F37" i="3" s="1"/>
  <c r="P30" i="12"/>
  <c r="H29" i="3" s="1"/>
  <c r="P27" i="20"/>
  <c r="J26" i="3" s="1"/>
  <c r="J61" i="17"/>
  <c r="E20" i="17"/>
  <c r="M20" i="17"/>
  <c r="N92" i="17"/>
  <c r="D262" i="17"/>
  <c r="D233" i="17"/>
  <c r="D98" i="17"/>
  <c r="O48" i="15"/>
  <c r="M45" i="15"/>
  <c r="L47" i="15"/>
  <c r="K49" i="15"/>
  <c r="K41" i="15"/>
  <c r="H48" i="15"/>
  <c r="F44" i="15"/>
  <c r="E47" i="15"/>
  <c r="D49" i="15"/>
  <c r="D41" i="15"/>
  <c r="N45" i="14"/>
  <c r="M48" i="14"/>
  <c r="K44" i="14"/>
  <c r="I49" i="14"/>
  <c r="I41" i="14"/>
  <c r="G45" i="14"/>
  <c r="F47" i="14"/>
  <c r="D44" i="14"/>
  <c r="O44" i="13"/>
  <c r="N45" i="13"/>
  <c r="J48" i="13"/>
  <c r="I41" i="13"/>
  <c r="G44" i="13"/>
  <c r="O44" i="12"/>
  <c r="M44" i="12"/>
  <c r="K44" i="12"/>
  <c r="I44" i="12"/>
  <c r="G44" i="12"/>
  <c r="E44" i="12"/>
  <c r="O44" i="21"/>
  <c r="M44" i="21"/>
  <c r="K44" i="21"/>
  <c r="I44" i="21"/>
  <c r="G44" i="21"/>
  <c r="E44" i="21"/>
  <c r="O44" i="20"/>
  <c r="M44" i="20"/>
  <c r="K44" i="20"/>
  <c r="I44" i="20"/>
  <c r="G44" i="20"/>
  <c r="E44" i="20"/>
  <c r="O44" i="19"/>
  <c r="M44" i="19"/>
  <c r="K44" i="19"/>
  <c r="I44" i="19"/>
  <c r="G44" i="19"/>
  <c r="E44" i="19"/>
  <c r="O44" i="16"/>
  <c r="G49" i="16"/>
  <c r="L16" i="14"/>
  <c r="D16" i="13"/>
  <c r="H16" i="12"/>
  <c r="H14" i="12" s="1"/>
  <c r="L16" i="20"/>
  <c r="J15" i="19"/>
  <c r="J14" i="19" s="1"/>
  <c r="L15" i="15"/>
  <c r="P39" i="19"/>
  <c r="K38" i="3" s="1"/>
  <c r="P28" i="12"/>
  <c r="H27" i="3" s="1"/>
  <c r="P23" i="16"/>
  <c r="D22" i="3" s="1"/>
  <c r="D227" i="17"/>
  <c r="D169" i="17"/>
  <c r="K44" i="13"/>
  <c r="P27" i="12"/>
  <c r="H26" i="3" s="1"/>
  <c r="D92" i="17"/>
  <c r="D258" i="17"/>
  <c r="D200" i="17"/>
  <c r="J41" i="15"/>
  <c r="I61" i="17"/>
  <c r="D61" i="17"/>
  <c r="P92" i="17"/>
  <c r="D129" i="17"/>
  <c r="O49" i="15"/>
  <c r="O41" i="15"/>
  <c r="L48" i="15"/>
  <c r="J44" i="15"/>
  <c r="I47" i="15"/>
  <c r="H49" i="15"/>
  <c r="H41" i="15"/>
  <c r="F45" i="15"/>
  <c r="E48" i="15"/>
  <c r="O44" i="14"/>
  <c r="M49" i="14"/>
  <c r="M41" i="14"/>
  <c r="K45" i="14"/>
  <c r="J47" i="14"/>
  <c r="H44" i="14"/>
  <c r="F48" i="14"/>
  <c r="D45" i="14"/>
  <c r="J49" i="13"/>
  <c r="G47" i="13"/>
  <c r="E44" i="13"/>
  <c r="O49" i="12"/>
  <c r="M49" i="12"/>
  <c r="K49" i="12"/>
  <c r="I49" i="12"/>
  <c r="G49" i="12"/>
  <c r="E49" i="12"/>
  <c r="O49" i="21"/>
  <c r="M49" i="21"/>
  <c r="K49" i="21"/>
  <c r="I49" i="21"/>
  <c r="G49" i="21"/>
  <c r="E49" i="21"/>
  <c r="O49" i="20"/>
  <c r="M49" i="20"/>
  <c r="K49" i="20"/>
  <c r="I49" i="20"/>
  <c r="G49" i="20"/>
  <c r="E49" i="20"/>
  <c r="O49" i="19"/>
  <c r="M49" i="19"/>
  <c r="K49" i="19"/>
  <c r="I49" i="19"/>
  <c r="G49" i="19"/>
  <c r="E49" i="19"/>
  <c r="O49" i="16"/>
  <c r="L49" i="16"/>
  <c r="H49" i="16"/>
  <c r="M14" i="14"/>
  <c r="N14" i="20"/>
  <c r="L15" i="12"/>
  <c r="O15" i="13"/>
  <c r="J15" i="14"/>
  <c r="P39" i="21"/>
  <c r="I38" i="3" s="1"/>
  <c r="P28" i="20"/>
  <c r="J27" i="3" s="1"/>
  <c r="P25" i="12"/>
  <c r="H24" i="3" s="1"/>
  <c r="P28" i="15"/>
  <c r="E27" i="3" s="1"/>
  <c r="E30" i="18"/>
  <c r="I69" i="1"/>
  <c r="H56" i="1"/>
  <c r="H51" i="1"/>
  <c r="H42" i="1"/>
  <c r="H29" i="1"/>
  <c r="H15" i="1"/>
  <c r="H52" i="1"/>
  <c r="H43" i="1"/>
  <c r="H31" i="1"/>
  <c r="H54" i="1"/>
  <c r="H13" i="1"/>
  <c r="H55" i="1"/>
  <c r="H47" i="1"/>
  <c r="H34" i="1"/>
  <c r="H19" i="1"/>
  <c r="H16" i="1"/>
  <c r="H26" i="1"/>
  <c r="H46" i="1"/>
  <c r="H27" i="1"/>
  <c r="H36" i="1"/>
  <c r="H48" i="1"/>
  <c r="H37" i="1"/>
  <c r="H21" i="1"/>
  <c r="H25" i="1"/>
  <c r="H33" i="1"/>
  <c r="H38" i="1"/>
  <c r="H49" i="1"/>
  <c r="H40" i="1"/>
  <c r="H22" i="1"/>
  <c r="H18" i="1"/>
  <c r="H34" i="4"/>
  <c r="H30" i="4"/>
  <c r="H19" i="4"/>
  <c r="H11" i="4"/>
  <c r="H35" i="4"/>
  <c r="H31" i="4"/>
  <c r="H20" i="4"/>
  <c r="H12" i="4"/>
  <c r="H25" i="4"/>
  <c r="H38" i="4"/>
  <c r="H22" i="4"/>
  <c r="H26" i="4"/>
  <c r="H15" i="4"/>
  <c r="H37" i="4"/>
  <c r="H14" i="4"/>
  <c r="H23" i="4"/>
  <c r="H27" i="4"/>
  <c r="H16" i="4"/>
  <c r="H21" i="4"/>
  <c r="H32" i="4"/>
  <c r="H28" i="4"/>
  <c r="H21" i="5"/>
  <c r="H29" i="5"/>
  <c r="H25" i="5"/>
  <c r="H26" i="5"/>
  <c r="H65" i="5"/>
  <c r="H79" i="5"/>
  <c r="H95" i="5"/>
  <c r="H94" i="5"/>
  <c r="H107" i="5"/>
  <c r="H80" i="5"/>
  <c r="H78" i="5"/>
  <c r="H77" i="5"/>
  <c r="H63" i="5"/>
  <c r="H61" i="5"/>
  <c r="H64" i="5"/>
  <c r="H62" i="5"/>
  <c r="H46" i="5"/>
  <c r="H30" i="5"/>
  <c r="H19" i="5"/>
  <c r="H24" i="5"/>
  <c r="H31" i="5"/>
  <c r="H20" i="5"/>
  <c r="H22" i="5"/>
  <c r="H15" i="5"/>
  <c r="H16" i="5"/>
  <c r="H12" i="5"/>
  <c r="H32" i="5"/>
  <c r="H11" i="5"/>
  <c r="H23" i="5"/>
  <c r="H13" i="5"/>
  <c r="H27" i="5"/>
  <c r="H28" i="5"/>
  <c r="H14" i="5"/>
  <c r="H18" i="6"/>
  <c r="H20" i="6"/>
  <c r="H21" i="6"/>
  <c r="H15" i="6"/>
  <c r="H12" i="6"/>
  <c r="H17" i="6"/>
  <c r="H23" i="6"/>
  <c r="H40" i="6"/>
  <c r="H37" i="6"/>
  <c r="H39" i="6"/>
  <c r="H43" i="6"/>
  <c r="H41" i="6"/>
  <c r="H36" i="6"/>
  <c r="H15" i="7"/>
  <c r="H16" i="7"/>
  <c r="H18" i="7"/>
  <c r="H11" i="7"/>
  <c r="H12" i="7"/>
  <c r="H58" i="7"/>
  <c r="H59" i="7"/>
  <c r="H76" i="7"/>
  <c r="H77" i="7"/>
  <c r="H78" i="7"/>
  <c r="H80" i="7"/>
  <c r="H53" i="7"/>
  <c r="H55" i="7"/>
  <c r="H82" i="7"/>
  <c r="H54" i="7"/>
  <c r="H81" i="7"/>
  <c r="H52" i="7"/>
  <c r="H106" i="7"/>
  <c r="H101" i="7"/>
  <c r="H103" i="7"/>
  <c r="H105" i="7"/>
  <c r="H100" i="7"/>
  <c r="H104" i="7"/>
  <c r="H75" i="8"/>
  <c r="H78" i="8"/>
  <c r="H86" i="8"/>
  <c r="H74" i="8"/>
  <c r="H83" i="8"/>
  <c r="H89" i="8"/>
  <c r="H87" i="8"/>
  <c r="H90" i="8"/>
  <c r="H77" i="8"/>
  <c r="H91" i="8"/>
  <c r="H92" i="8"/>
  <c r="H82" i="8"/>
  <c r="H76" i="8"/>
  <c r="H85" i="8"/>
  <c r="H81" i="8"/>
  <c r="H21" i="9"/>
  <c r="H23" i="9"/>
  <c r="H59" i="9"/>
  <c r="H60" i="9"/>
  <c r="H61" i="9"/>
  <c r="H62" i="9"/>
  <c r="H39" i="9"/>
  <c r="H41" i="9"/>
  <c r="H36" i="9"/>
  <c r="H45" i="9"/>
  <c r="H37" i="9"/>
  <c r="H42" i="9"/>
  <c r="H43" i="9"/>
  <c r="H44" i="9"/>
  <c r="H46" i="9"/>
  <c r="H38" i="9"/>
  <c r="H35" i="9"/>
  <c r="H47" i="9"/>
  <c r="P42" i="15"/>
  <c r="E41" i="3" s="1"/>
  <c r="P29" i="15"/>
  <c r="E28" i="3" s="1"/>
  <c r="P25" i="15"/>
  <c r="E24" i="3" s="1"/>
  <c r="P26" i="14"/>
  <c r="F25" i="3" s="1"/>
  <c r="P30" i="14"/>
  <c r="F29" i="3" s="1"/>
  <c r="P25" i="13"/>
  <c r="G24" i="3" s="1"/>
  <c r="P25" i="21"/>
  <c r="I24" i="3" s="1"/>
  <c r="P25" i="19"/>
  <c r="K24" i="3" s="1"/>
  <c r="P39" i="16"/>
  <c r="D38" i="3" s="1"/>
  <c r="E55" i="18"/>
  <c r="H20" i="1"/>
  <c r="E79" i="8"/>
  <c r="G79" i="8" s="1"/>
  <c r="H79" i="8" s="1"/>
  <c r="O92" i="17"/>
  <c r="D296" i="17"/>
  <c r="D294" i="17"/>
  <c r="D292" i="17"/>
  <c r="D290" i="17"/>
  <c r="D285" i="17"/>
  <c r="D265" i="17"/>
  <c r="D263" i="17"/>
  <c r="D261" i="17"/>
  <c r="D259" i="17"/>
  <c r="D254" i="17"/>
  <c r="D234" i="17"/>
  <c r="D232" i="17"/>
  <c r="D230" i="17"/>
  <c r="D228" i="17"/>
  <c r="D223" i="17"/>
  <c r="D203" i="17"/>
  <c r="D201" i="17"/>
  <c r="D199" i="17"/>
  <c r="D197" i="17"/>
  <c r="D192" i="17"/>
  <c r="D172" i="17"/>
  <c r="D170" i="17"/>
  <c r="D168" i="17"/>
  <c r="D166" i="17"/>
  <c r="D161" i="17"/>
  <c r="D141" i="17"/>
  <c r="D139" i="17"/>
  <c r="D137" i="17"/>
  <c r="D135" i="17"/>
  <c r="D130" i="17"/>
  <c r="J92" i="17"/>
  <c r="P46" i="15"/>
  <c r="E45" i="3" s="1"/>
  <c r="I44" i="13"/>
  <c r="H48" i="13"/>
  <c r="H44" i="13"/>
  <c r="G43" i="13"/>
  <c r="G40" i="13"/>
  <c r="F44" i="13"/>
  <c r="F40" i="13"/>
  <c r="N44" i="16"/>
  <c r="L44" i="16"/>
  <c r="O40" i="16"/>
  <c r="K40" i="16"/>
  <c r="G40" i="16"/>
  <c r="O16" i="15"/>
  <c r="N16" i="15"/>
  <c r="N14" i="15" s="1"/>
  <c r="M16" i="15"/>
  <c r="L16" i="15"/>
  <c r="K16" i="15"/>
  <c r="K14" i="15" s="1"/>
  <c r="J16" i="15"/>
  <c r="I16" i="15"/>
  <c r="I14" i="15" s="1"/>
  <c r="H16" i="15"/>
  <c r="H14" i="15" s="1"/>
  <c r="G16" i="15"/>
  <c r="F16" i="15"/>
  <c r="F14" i="15" s="1"/>
  <c r="E16" i="14"/>
  <c r="D16" i="14"/>
  <c r="O16" i="13"/>
  <c r="N16" i="13"/>
  <c r="N14" i="13" s="1"/>
  <c r="M16" i="13"/>
  <c r="L16" i="13"/>
  <c r="K16" i="13"/>
  <c r="J16" i="13"/>
  <c r="I16" i="13"/>
  <c r="I14" i="13" s="1"/>
  <c r="H16" i="13"/>
  <c r="H14" i="13" s="1"/>
  <c r="G16" i="13"/>
  <c r="F16" i="13"/>
  <c r="F14" i="13" s="1"/>
  <c r="E16" i="12"/>
  <c r="D16" i="12"/>
  <c r="O16" i="21"/>
  <c r="N16" i="21"/>
  <c r="N14" i="21" s="1"/>
  <c r="M16" i="21"/>
  <c r="L16" i="21"/>
  <c r="K16" i="21"/>
  <c r="K14" i="21" s="1"/>
  <c r="J16" i="21"/>
  <c r="J14" i="21" s="1"/>
  <c r="I16" i="21"/>
  <c r="H16" i="21"/>
  <c r="H14" i="21" s="1"/>
  <c r="G16" i="21"/>
  <c r="F16" i="21"/>
  <c r="F14" i="21" s="1"/>
  <c r="E16" i="20"/>
  <c r="D16" i="20"/>
  <c r="D14" i="20" s="1"/>
  <c r="O16" i="19"/>
  <c r="N16" i="19"/>
  <c r="N14" i="19" s="1"/>
  <c r="M16" i="19"/>
  <c r="M14" i="19" s="1"/>
  <c r="L16" i="19"/>
  <c r="L14" i="19" s="1"/>
  <c r="K16" i="19"/>
  <c r="K14" i="19" s="1"/>
  <c r="P27" i="15"/>
  <c r="E26" i="3" s="1"/>
  <c r="P23" i="14"/>
  <c r="F22" i="3" s="1"/>
  <c r="P28" i="14"/>
  <c r="F27" i="3" s="1"/>
  <c r="P23" i="12"/>
  <c r="H22" i="3" s="1"/>
  <c r="P25" i="20"/>
  <c r="J24" i="3" s="1"/>
  <c r="E51" i="18"/>
  <c r="E49" i="18"/>
  <c r="E52" i="18"/>
  <c r="E25" i="18"/>
  <c r="E26" i="18"/>
  <c r="E50" i="18"/>
  <c r="G124" i="5"/>
  <c r="G115" i="5" s="1"/>
  <c r="Q3" i="5" s="1"/>
  <c r="D33" i="18" s="1"/>
  <c r="E33" i="18" s="1"/>
  <c r="H122" i="5"/>
  <c r="H13" i="6"/>
  <c r="H45" i="5"/>
  <c r="E54" i="18"/>
  <c r="H14" i="1"/>
  <c r="I68" i="1"/>
  <c r="I70" i="1"/>
  <c r="F32" i="2"/>
  <c r="G32" i="2" s="1"/>
  <c r="D65" i="18" s="1"/>
  <c r="F34" i="2"/>
  <c r="G34" i="2" s="1"/>
  <c r="F46" i="2"/>
  <c r="G96" i="5"/>
  <c r="G87" i="5" s="1"/>
  <c r="O3" i="5" s="1"/>
  <c r="D31" i="18" s="1"/>
  <c r="E31" i="18" s="1"/>
  <c r="D118" i="17"/>
  <c r="D149" i="17"/>
  <c r="D180" i="17"/>
  <c r="D211" i="17"/>
  <c r="D242" i="17"/>
  <c r="D273" i="17"/>
  <c r="D304" i="17"/>
  <c r="D116" i="17"/>
  <c r="D147" i="17"/>
  <c r="D178" i="17"/>
  <c r="D209" i="17"/>
  <c r="D240" i="17"/>
  <c r="D271" i="17"/>
  <c r="D302" i="17"/>
  <c r="D114" i="17"/>
  <c r="D145" i="17"/>
  <c r="D176" i="17"/>
  <c r="D207" i="17"/>
  <c r="D238" i="17"/>
  <c r="D269" i="17"/>
  <c r="D300" i="17"/>
  <c r="D112" i="17"/>
  <c r="D143" i="17"/>
  <c r="D174" i="17"/>
  <c r="D205" i="17"/>
  <c r="D236" i="17"/>
  <c r="D267" i="17"/>
  <c r="D298" i="17"/>
  <c r="D102" i="17"/>
  <c r="D133" i="17"/>
  <c r="D164" i="17"/>
  <c r="D195" i="17"/>
  <c r="D226" i="17"/>
  <c r="D257" i="17"/>
  <c r="D288" i="17"/>
  <c r="E92" i="17"/>
  <c r="F92" i="17"/>
  <c r="D100" i="17"/>
  <c r="D131" i="17"/>
  <c r="D162" i="17"/>
  <c r="D193" i="17"/>
  <c r="D224" i="17"/>
  <c r="D255" i="17"/>
  <c r="D286" i="17"/>
  <c r="G92" i="17"/>
  <c r="I92" i="17"/>
  <c r="E12" i="8"/>
  <c r="G12" i="8" s="1"/>
  <c r="G11" i="10"/>
  <c r="M92" i="17"/>
  <c r="K92" i="17"/>
  <c r="G40" i="4"/>
  <c r="G5" i="4" s="1"/>
  <c r="K3" i="4" s="1"/>
  <c r="D34" i="18" s="1"/>
  <c r="D119" i="17"/>
  <c r="D150" i="17"/>
  <c r="D181" i="17"/>
  <c r="D212" i="17"/>
  <c r="D243" i="17"/>
  <c r="D274" i="17"/>
  <c r="D305" i="17"/>
  <c r="D117" i="17"/>
  <c r="D148" i="17"/>
  <c r="D179" i="17"/>
  <c r="D210" i="17"/>
  <c r="D241" i="17"/>
  <c r="D272" i="17"/>
  <c r="D303" i="17"/>
  <c r="D115" i="17"/>
  <c r="D146" i="17"/>
  <c r="D177" i="17"/>
  <c r="D208" i="17"/>
  <c r="D239" i="17"/>
  <c r="D270" i="17"/>
  <c r="D301" i="17"/>
  <c r="D113" i="17"/>
  <c r="D144" i="17"/>
  <c r="D175" i="17"/>
  <c r="D206" i="17"/>
  <c r="D237" i="17"/>
  <c r="D268" i="17"/>
  <c r="D299" i="17"/>
  <c r="D101" i="17"/>
  <c r="D132" i="17"/>
  <c r="D163" i="17"/>
  <c r="D194" i="17"/>
  <c r="D225" i="17"/>
  <c r="D256" i="17"/>
  <c r="D287" i="17"/>
  <c r="E13" i="8"/>
  <c r="G13" i="8" s="1"/>
  <c r="H13" i="8" s="1"/>
  <c r="F48" i="16"/>
  <c r="G48" i="16"/>
  <c r="H48" i="16"/>
  <c r="I48" i="16"/>
  <c r="J48" i="16"/>
  <c r="K48" i="16"/>
  <c r="L48" i="16"/>
  <c r="M48" i="16"/>
  <c r="N48" i="16"/>
  <c r="O48" i="16"/>
  <c r="E48" i="19"/>
  <c r="G48" i="19"/>
  <c r="I48" i="19"/>
  <c r="K48" i="19"/>
  <c r="M48" i="19"/>
  <c r="O48" i="19"/>
  <c r="E48" i="20"/>
  <c r="G48" i="20"/>
  <c r="I48" i="20"/>
  <c r="K48" i="20"/>
  <c r="M48" i="20"/>
  <c r="O48" i="20"/>
  <c r="E48" i="21"/>
  <c r="G48" i="21"/>
  <c r="I48" i="21"/>
  <c r="K48" i="21"/>
  <c r="M48" i="21"/>
  <c r="O48" i="21"/>
  <c r="E48" i="12"/>
  <c r="G48" i="12"/>
  <c r="I48" i="12"/>
  <c r="K48" i="12"/>
  <c r="M48" i="12"/>
  <c r="O48" i="12"/>
  <c r="E48" i="13"/>
  <c r="G48" i="13"/>
  <c r="I48" i="13"/>
  <c r="K48" i="13"/>
  <c r="M48" i="13"/>
  <c r="D48" i="19"/>
  <c r="F48" i="19"/>
  <c r="H48" i="19"/>
  <c r="J48" i="19"/>
  <c r="L48" i="19"/>
  <c r="N48" i="19"/>
  <c r="D48" i="20"/>
  <c r="F48" i="20"/>
  <c r="H48" i="20"/>
  <c r="J48" i="20"/>
  <c r="L48" i="20"/>
  <c r="N48" i="20"/>
  <c r="D48" i="21"/>
  <c r="F48" i="21"/>
  <c r="H48" i="21"/>
  <c r="J48" i="21"/>
  <c r="L48" i="21"/>
  <c r="N48" i="21"/>
  <c r="D48" i="12"/>
  <c r="F48" i="12"/>
  <c r="H48" i="12"/>
  <c r="J48" i="12"/>
  <c r="L48" i="12"/>
  <c r="N48" i="12"/>
  <c r="D48" i="13"/>
  <c r="F46" i="16"/>
  <c r="G46" i="16"/>
  <c r="H46" i="16"/>
  <c r="I46" i="16"/>
  <c r="J46" i="16"/>
  <c r="K46" i="16"/>
  <c r="L46" i="16"/>
  <c r="M46" i="16"/>
  <c r="N46" i="16"/>
  <c r="O46" i="16"/>
  <c r="E46" i="19"/>
  <c r="G46" i="19"/>
  <c r="I46" i="19"/>
  <c r="K46" i="19"/>
  <c r="M46" i="19"/>
  <c r="O46" i="19"/>
  <c r="E46" i="20"/>
  <c r="G46" i="20"/>
  <c r="I46" i="20"/>
  <c r="K46" i="20"/>
  <c r="M46" i="20"/>
  <c r="O46" i="20"/>
  <c r="E46" i="21"/>
  <c r="G46" i="21"/>
  <c r="I46" i="21"/>
  <c r="K46" i="21"/>
  <c r="M46" i="21"/>
  <c r="O46" i="21"/>
  <c r="E46" i="12"/>
  <c r="G46" i="12"/>
  <c r="I46" i="12"/>
  <c r="K46" i="12"/>
  <c r="M46" i="12"/>
  <c r="O46" i="12"/>
  <c r="E46" i="13"/>
  <c r="G46" i="13"/>
  <c r="I46" i="13"/>
  <c r="K46" i="13"/>
  <c r="M46" i="13"/>
  <c r="D46" i="19"/>
  <c r="F46" i="19"/>
  <c r="H46" i="19"/>
  <c r="J46" i="19"/>
  <c r="L46" i="19"/>
  <c r="N46" i="19"/>
  <c r="D46" i="20"/>
  <c r="F46" i="20"/>
  <c r="H46" i="20"/>
  <c r="J46" i="20"/>
  <c r="L46" i="20"/>
  <c r="N46" i="20"/>
  <c r="D46" i="21"/>
  <c r="F46" i="21"/>
  <c r="H46" i="21"/>
  <c r="J46" i="21"/>
  <c r="L46" i="21"/>
  <c r="N46" i="21"/>
  <c r="D46" i="12"/>
  <c r="F46" i="12"/>
  <c r="H46" i="12"/>
  <c r="J46" i="12"/>
  <c r="L46" i="12"/>
  <c r="N46" i="12"/>
  <c r="D46" i="13"/>
  <c r="D43" i="19"/>
  <c r="F43" i="19"/>
  <c r="H43" i="19"/>
  <c r="J43" i="19"/>
  <c r="L43" i="19"/>
  <c r="N43" i="19"/>
  <c r="D43" i="20"/>
  <c r="F43" i="20"/>
  <c r="H43" i="20"/>
  <c r="J43" i="20"/>
  <c r="L43" i="20"/>
  <c r="N43" i="20"/>
  <c r="D43" i="21"/>
  <c r="F43" i="21"/>
  <c r="H43" i="21"/>
  <c r="J43" i="21"/>
  <c r="L43" i="21"/>
  <c r="N43" i="21"/>
  <c r="D43" i="12"/>
  <c r="F43" i="12"/>
  <c r="H43" i="12"/>
  <c r="J43" i="12"/>
  <c r="L43" i="12"/>
  <c r="N43" i="12"/>
  <c r="D43" i="13"/>
  <c r="F43" i="13"/>
  <c r="H43" i="13"/>
  <c r="J43" i="13"/>
  <c r="L43" i="13"/>
  <c r="N43" i="13"/>
  <c r="F43" i="16"/>
  <c r="G43" i="16"/>
  <c r="H43" i="16"/>
  <c r="I43" i="16"/>
  <c r="J43" i="16"/>
  <c r="K43" i="16"/>
  <c r="L43" i="16"/>
  <c r="M43" i="16"/>
  <c r="N43" i="16"/>
  <c r="O43" i="16"/>
  <c r="E43" i="19"/>
  <c r="G43" i="19"/>
  <c r="I43" i="19"/>
  <c r="K43" i="19"/>
  <c r="M43" i="19"/>
  <c r="O43" i="19"/>
  <c r="E43" i="20"/>
  <c r="G43" i="20"/>
  <c r="I43" i="20"/>
  <c r="K43" i="20"/>
  <c r="M43" i="20"/>
  <c r="O43" i="20"/>
  <c r="E43" i="21"/>
  <c r="G43" i="21"/>
  <c r="I43" i="21"/>
  <c r="K43" i="21"/>
  <c r="M43" i="21"/>
  <c r="O43" i="21"/>
  <c r="E43" i="12"/>
  <c r="G43" i="12"/>
  <c r="I43" i="12"/>
  <c r="K43" i="12"/>
  <c r="M43" i="12"/>
  <c r="O43" i="12"/>
  <c r="E19" i="8"/>
  <c r="G19" i="8" s="1"/>
  <c r="H19" i="8" s="1"/>
  <c r="O47" i="13"/>
  <c r="O45" i="13"/>
  <c r="O41" i="13"/>
  <c r="M47" i="13"/>
  <c r="K45" i="13"/>
  <c r="K41" i="13"/>
  <c r="I47" i="13"/>
  <c r="F47" i="16"/>
  <c r="D47" i="19"/>
  <c r="F47" i="19"/>
  <c r="H47" i="19"/>
  <c r="J47" i="19"/>
  <c r="L47" i="19"/>
  <c r="N47" i="19"/>
  <c r="D47" i="20"/>
  <c r="F47" i="20"/>
  <c r="H47" i="20"/>
  <c r="J47" i="20"/>
  <c r="L47" i="20"/>
  <c r="N47" i="20"/>
  <c r="D47" i="21"/>
  <c r="F47" i="21"/>
  <c r="H47" i="21"/>
  <c r="J47" i="21"/>
  <c r="L47" i="21"/>
  <c r="N47" i="21"/>
  <c r="D47" i="12"/>
  <c r="F47" i="12"/>
  <c r="H47" i="12"/>
  <c r="J47" i="12"/>
  <c r="L47" i="12"/>
  <c r="N47" i="12"/>
  <c r="D47" i="13"/>
  <c r="F47" i="13"/>
  <c r="H47" i="13"/>
  <c r="J47" i="13"/>
  <c r="L47" i="13"/>
  <c r="G47" i="16"/>
  <c r="H47" i="16"/>
  <c r="I47" i="16"/>
  <c r="J47" i="16"/>
  <c r="K47" i="16"/>
  <c r="L47" i="16"/>
  <c r="M47" i="16"/>
  <c r="N47" i="16"/>
  <c r="O47" i="16"/>
  <c r="E47" i="19"/>
  <c r="G47" i="19"/>
  <c r="I47" i="19"/>
  <c r="K47" i="19"/>
  <c r="M47" i="19"/>
  <c r="O47" i="19"/>
  <c r="E47" i="20"/>
  <c r="G47" i="20"/>
  <c r="I47" i="20"/>
  <c r="K47" i="20"/>
  <c r="M47" i="20"/>
  <c r="O47" i="20"/>
  <c r="E47" i="21"/>
  <c r="G47" i="21"/>
  <c r="I47" i="21"/>
  <c r="K47" i="21"/>
  <c r="M47" i="21"/>
  <c r="O47" i="21"/>
  <c r="E47" i="12"/>
  <c r="G47" i="12"/>
  <c r="I47" i="12"/>
  <c r="K47" i="12"/>
  <c r="M47" i="12"/>
  <c r="O47" i="12"/>
  <c r="F45" i="16"/>
  <c r="D45" i="19"/>
  <c r="F45" i="19"/>
  <c r="H45" i="19"/>
  <c r="J45" i="19"/>
  <c r="L45" i="19"/>
  <c r="N45" i="19"/>
  <c r="D45" i="20"/>
  <c r="F45" i="20"/>
  <c r="H45" i="20"/>
  <c r="J45" i="20"/>
  <c r="L45" i="20"/>
  <c r="N45" i="20"/>
  <c r="D45" i="21"/>
  <c r="F45" i="21"/>
  <c r="H45" i="21"/>
  <c r="J45" i="21"/>
  <c r="L45" i="21"/>
  <c r="N45" i="21"/>
  <c r="D45" i="12"/>
  <c r="F45" i="12"/>
  <c r="H45" i="12"/>
  <c r="J45" i="12"/>
  <c r="L45" i="12"/>
  <c r="N45" i="12"/>
  <c r="D45" i="13"/>
  <c r="F45" i="13"/>
  <c r="H45" i="13"/>
  <c r="J45" i="13"/>
  <c r="L45" i="13"/>
  <c r="G45" i="16"/>
  <c r="H45" i="16"/>
  <c r="I45" i="16"/>
  <c r="J45" i="16"/>
  <c r="K45" i="16"/>
  <c r="L45" i="16"/>
  <c r="M45" i="16"/>
  <c r="N45" i="16"/>
  <c r="O45" i="16"/>
  <c r="E45" i="19"/>
  <c r="G45" i="19"/>
  <c r="I45" i="19"/>
  <c r="K45" i="19"/>
  <c r="M45" i="19"/>
  <c r="O45" i="19"/>
  <c r="E45" i="20"/>
  <c r="G45" i="20"/>
  <c r="I45" i="20"/>
  <c r="K45" i="20"/>
  <c r="M45" i="20"/>
  <c r="O45" i="20"/>
  <c r="E45" i="21"/>
  <c r="G45" i="21"/>
  <c r="I45" i="21"/>
  <c r="K45" i="21"/>
  <c r="M45" i="21"/>
  <c r="O45" i="21"/>
  <c r="E45" i="12"/>
  <c r="G45" i="12"/>
  <c r="I45" i="12"/>
  <c r="K45" i="12"/>
  <c r="M45" i="12"/>
  <c r="O45" i="12"/>
  <c r="D41" i="19"/>
  <c r="F41" i="19"/>
  <c r="H41" i="19"/>
  <c r="J41" i="19"/>
  <c r="L41" i="19"/>
  <c r="N41" i="19"/>
  <c r="D41" i="20"/>
  <c r="F41" i="20"/>
  <c r="H41" i="20"/>
  <c r="J41" i="20"/>
  <c r="L41" i="20"/>
  <c r="N41" i="20"/>
  <c r="D41" i="21"/>
  <c r="F41" i="21"/>
  <c r="H41" i="21"/>
  <c r="J41" i="21"/>
  <c r="L41" i="21"/>
  <c r="N41" i="21"/>
  <c r="D41" i="12"/>
  <c r="F41" i="12"/>
  <c r="H41" i="12"/>
  <c r="J41" i="12"/>
  <c r="L41" i="12"/>
  <c r="N41" i="12"/>
  <c r="D41" i="13"/>
  <c r="F41" i="13"/>
  <c r="H41" i="13"/>
  <c r="J41" i="13"/>
  <c r="L41" i="13"/>
  <c r="N41" i="13"/>
  <c r="F41" i="16"/>
  <c r="G41" i="16"/>
  <c r="H41" i="16"/>
  <c r="I41" i="16"/>
  <c r="J41" i="16"/>
  <c r="K41" i="16"/>
  <c r="L41" i="16"/>
  <c r="M41" i="16"/>
  <c r="N41" i="16"/>
  <c r="O41" i="16"/>
  <c r="E41" i="19"/>
  <c r="G41" i="19"/>
  <c r="I41" i="19"/>
  <c r="K41" i="19"/>
  <c r="M41" i="19"/>
  <c r="O41" i="19"/>
  <c r="E41" i="20"/>
  <c r="G41" i="20"/>
  <c r="I41" i="20"/>
  <c r="K41" i="20"/>
  <c r="M41" i="20"/>
  <c r="O41" i="20"/>
  <c r="E41" i="21"/>
  <c r="G41" i="21"/>
  <c r="I41" i="21"/>
  <c r="K41" i="21"/>
  <c r="M41" i="21"/>
  <c r="O41" i="21"/>
  <c r="E41" i="12"/>
  <c r="G41" i="12"/>
  <c r="I41" i="12"/>
  <c r="K41" i="12"/>
  <c r="M41" i="12"/>
  <c r="O41" i="12"/>
  <c r="D37" i="16"/>
  <c r="E15" i="15"/>
  <c r="E15" i="14"/>
  <c r="E14" i="14" s="1"/>
  <c r="E15" i="13"/>
  <c r="E14" i="13" s="1"/>
  <c r="E15" i="12"/>
  <c r="E14" i="12" s="1"/>
  <c r="E15" i="21"/>
  <c r="E14" i="21" s="1"/>
  <c r="E15" i="20"/>
  <c r="E14" i="20" s="1"/>
  <c r="E15" i="19"/>
  <c r="D16" i="16"/>
  <c r="E16" i="16"/>
  <c r="E14" i="16" s="1"/>
  <c r="F16" i="16"/>
  <c r="F14" i="16" s="1"/>
  <c r="G16" i="16"/>
  <c r="H16" i="16"/>
  <c r="H14" i="16" s="1"/>
  <c r="I16" i="16"/>
  <c r="I14" i="16" s="1"/>
  <c r="J16" i="16"/>
  <c r="J14" i="16" s="1"/>
  <c r="K16" i="16"/>
  <c r="K14" i="16" s="1"/>
  <c r="L16" i="16"/>
  <c r="L14" i="16" s="1"/>
  <c r="M16" i="16"/>
  <c r="N16" i="16"/>
  <c r="N14" i="16" s="1"/>
  <c r="O16" i="16"/>
  <c r="O14" i="16" s="1"/>
  <c r="D16" i="19"/>
  <c r="E16" i="19"/>
  <c r="F16" i="19"/>
  <c r="F14" i="19" s="1"/>
  <c r="G16" i="19"/>
  <c r="H16" i="19"/>
  <c r="H14" i="19" s="1"/>
  <c r="I16" i="19"/>
  <c r="J44" i="16"/>
  <c r="I44" i="16"/>
  <c r="I42" i="16"/>
  <c r="H44" i="16"/>
  <c r="H42" i="16"/>
  <c r="G44" i="16"/>
  <c r="G42" i="16"/>
  <c r="N40" i="16"/>
  <c r="L40" i="16"/>
  <c r="J40" i="16"/>
  <c r="H40" i="16"/>
  <c r="G14" i="19" l="1"/>
  <c r="F33" i="2"/>
  <c r="G33" i="2" s="1"/>
  <c r="H37" i="15"/>
  <c r="F31" i="2"/>
  <c r="G31" i="2" s="1"/>
  <c r="I14" i="21"/>
  <c r="O14" i="13"/>
  <c r="P43" i="14"/>
  <c r="F42" i="3" s="1"/>
  <c r="D61" i="3"/>
  <c r="I14" i="19"/>
  <c r="M14" i="16"/>
  <c r="E14" i="15"/>
  <c r="P42" i="21"/>
  <c r="I41" i="3" s="1"/>
  <c r="P45" i="14"/>
  <c r="F44" i="3" s="1"/>
  <c r="G57" i="1"/>
  <c r="F5" i="1" s="1"/>
  <c r="K3" i="1" s="1"/>
  <c r="D46" i="18" s="1"/>
  <c r="E46" i="18" s="1"/>
  <c r="E37" i="14"/>
  <c r="D14" i="19"/>
  <c r="D14" i="12"/>
  <c r="D14" i="21"/>
  <c r="J14" i="15"/>
  <c r="O14" i="19"/>
  <c r="G14" i="13"/>
  <c r="L14" i="15"/>
  <c r="P40" i="15"/>
  <c r="E39" i="3" s="1"/>
  <c r="P15" i="19"/>
  <c r="K14" i="3" s="1"/>
  <c r="P49" i="16"/>
  <c r="D48" i="3" s="1"/>
  <c r="D37" i="15"/>
  <c r="P47" i="15"/>
  <c r="E46" i="3" s="1"/>
  <c r="M37" i="13"/>
  <c r="P15" i="16"/>
  <c r="D14" i="3" s="1"/>
  <c r="I14" i="14"/>
  <c r="G14" i="12"/>
  <c r="P53" i="16"/>
  <c r="D52" i="3" s="1"/>
  <c r="H110" i="5"/>
  <c r="H101" i="5" s="1"/>
  <c r="H96" i="5"/>
  <c r="H87" i="5" s="1"/>
  <c r="H24" i="6"/>
  <c r="H5" i="6" s="1"/>
  <c r="H124" i="5"/>
  <c r="H115" i="5" s="1"/>
  <c r="E21" i="8"/>
  <c r="G21" i="8" s="1"/>
  <c r="H21" i="8" s="1"/>
  <c r="P49" i="12"/>
  <c r="H48" i="3" s="1"/>
  <c r="P49" i="15"/>
  <c r="E48" i="3" s="1"/>
  <c r="P44" i="15"/>
  <c r="E43" i="3" s="1"/>
  <c r="I37" i="15"/>
  <c r="F309" i="17"/>
  <c r="N37" i="15"/>
  <c r="G37" i="14"/>
  <c r="N37" i="14"/>
  <c r="E16" i="2"/>
  <c r="G15" i="2"/>
  <c r="E46" i="2"/>
  <c r="G46" i="2" s="1"/>
  <c r="H66" i="5"/>
  <c r="H55" i="5" s="1"/>
  <c r="J14" i="14"/>
  <c r="P49" i="21"/>
  <c r="I48" i="3" s="1"/>
  <c r="D14" i="13"/>
  <c r="P40" i="12"/>
  <c r="H39" i="3" s="1"/>
  <c r="P40" i="19"/>
  <c r="K39" i="3" s="1"/>
  <c r="J37" i="14"/>
  <c r="D34" i="17"/>
  <c r="E27" i="18"/>
  <c r="P42" i="20"/>
  <c r="J41" i="3" s="1"/>
  <c r="P40" i="20"/>
  <c r="J39" i="3" s="1"/>
  <c r="G37" i="13"/>
  <c r="P49" i="20"/>
  <c r="J48" i="3" s="1"/>
  <c r="E37" i="13"/>
  <c r="F37" i="14"/>
  <c r="I37" i="14"/>
  <c r="P45" i="15"/>
  <c r="E44" i="3" s="1"/>
  <c r="L37" i="15"/>
  <c r="P49" i="14"/>
  <c r="F48" i="3" s="1"/>
  <c r="L14" i="20"/>
  <c r="H37" i="14"/>
  <c r="E37" i="15"/>
  <c r="L14" i="14"/>
  <c r="I14" i="20"/>
  <c r="P40" i="21"/>
  <c r="I39" i="3" s="1"/>
  <c r="M14" i="15"/>
  <c r="P40" i="13"/>
  <c r="G39" i="3" s="1"/>
  <c r="H45" i="6"/>
  <c r="H29" i="6" s="1"/>
  <c r="P49" i="19"/>
  <c r="K48" i="3" s="1"/>
  <c r="J37" i="15"/>
  <c r="K14" i="20"/>
  <c r="L37" i="14"/>
  <c r="P44" i="19"/>
  <c r="K43" i="3" s="1"/>
  <c r="P40" i="14"/>
  <c r="F39" i="3" s="1"/>
  <c r="K37" i="14"/>
  <c r="P42" i="19"/>
  <c r="K41" i="3" s="1"/>
  <c r="M37" i="21"/>
  <c r="E37" i="19"/>
  <c r="H37" i="20"/>
  <c r="M37" i="15"/>
  <c r="P41" i="15"/>
  <c r="E40" i="3" s="1"/>
  <c r="P42" i="16"/>
  <c r="D41" i="3" s="1"/>
  <c r="I37" i="12"/>
  <c r="E37" i="21"/>
  <c r="M37" i="19"/>
  <c r="L37" i="13"/>
  <c r="H37" i="12"/>
  <c r="L37" i="19"/>
  <c r="J14" i="13"/>
  <c r="P49" i="13"/>
  <c r="G48" i="3" s="1"/>
  <c r="P47" i="14"/>
  <c r="F46" i="3" s="1"/>
  <c r="N37" i="13"/>
  <c r="O37" i="13"/>
  <c r="M14" i="21"/>
  <c r="P43" i="15"/>
  <c r="E42" i="3" s="1"/>
  <c r="L14" i="12"/>
  <c r="K14" i="14"/>
  <c r="P44" i="12"/>
  <c r="H43" i="3" s="1"/>
  <c r="G14" i="16"/>
  <c r="M37" i="12"/>
  <c r="I37" i="21"/>
  <c r="E37" i="20"/>
  <c r="F37" i="16"/>
  <c r="L37" i="12"/>
  <c r="H37" i="21"/>
  <c r="L14" i="21"/>
  <c r="D14" i="14"/>
  <c r="D37" i="14"/>
  <c r="D14" i="15"/>
  <c r="O14" i="12"/>
  <c r="P42" i="13"/>
  <c r="G41" i="3" s="1"/>
  <c r="P48" i="14"/>
  <c r="F47" i="3" s="1"/>
  <c r="I37" i="20"/>
  <c r="L37" i="21"/>
  <c r="M14" i="13"/>
  <c r="F37" i="15"/>
  <c r="O37" i="15"/>
  <c r="P44" i="14"/>
  <c r="F43" i="3" s="1"/>
  <c r="O37" i="14"/>
  <c r="P44" i="20"/>
  <c r="J43" i="3" s="1"/>
  <c r="P48" i="15"/>
  <c r="E47" i="3" s="1"/>
  <c r="E37" i="12"/>
  <c r="M37" i="20"/>
  <c r="I37" i="19"/>
  <c r="H37" i="13"/>
  <c r="L37" i="20"/>
  <c r="H37" i="19"/>
  <c r="P41" i="14"/>
  <c r="F40" i="3" s="1"/>
  <c r="L14" i="13"/>
  <c r="G14" i="21"/>
  <c r="O14" i="21"/>
  <c r="K14" i="13"/>
  <c r="G14" i="15"/>
  <c r="O14" i="15"/>
  <c r="M37" i="14"/>
  <c r="K37" i="15"/>
  <c r="G37" i="15"/>
  <c r="P44" i="21"/>
  <c r="I43" i="3" s="1"/>
  <c r="H57" i="1"/>
  <c r="G5" i="1" s="1"/>
  <c r="H40" i="4"/>
  <c r="H5" i="4" s="1"/>
  <c r="H82" i="5"/>
  <c r="H71" i="5" s="1"/>
  <c r="H48" i="5"/>
  <c r="H39" i="5" s="1"/>
  <c r="H34" i="5"/>
  <c r="H5" i="5" s="1"/>
  <c r="H64" i="9"/>
  <c r="H53" i="9" s="1"/>
  <c r="H48" i="9"/>
  <c r="H29" i="9" s="1"/>
  <c r="P45" i="13"/>
  <c r="G44" i="3" s="1"/>
  <c r="I37" i="13"/>
  <c r="P15" i="12"/>
  <c r="H14" i="3" s="1"/>
  <c r="J37" i="16"/>
  <c r="N37" i="16"/>
  <c r="P44" i="16"/>
  <c r="D43" i="3" s="1"/>
  <c r="P44" i="13"/>
  <c r="G43" i="3" s="1"/>
  <c r="D37" i="13"/>
  <c r="P41" i="13"/>
  <c r="G40" i="3" s="1"/>
  <c r="D37" i="12"/>
  <c r="P41" i="12"/>
  <c r="H40" i="3" s="1"/>
  <c r="D37" i="21"/>
  <c r="P41" i="21"/>
  <c r="I40" i="3" s="1"/>
  <c r="D37" i="20"/>
  <c r="P41" i="20"/>
  <c r="J40" i="3" s="1"/>
  <c r="D15" i="3"/>
  <c r="D14" i="16"/>
  <c r="G13" i="10"/>
  <c r="E14" i="9"/>
  <c r="G14" i="9" s="1"/>
  <c r="E15" i="9"/>
  <c r="E16" i="9"/>
  <c r="G16" i="9" s="1"/>
  <c r="H16" i="9" s="1"/>
  <c r="E17" i="9"/>
  <c r="G17" i="9" s="1"/>
  <c r="H17" i="9" s="1"/>
  <c r="E70" i="8"/>
  <c r="E278" i="17"/>
  <c r="F278" i="17"/>
  <c r="G278" i="17"/>
  <c r="I278" i="17"/>
  <c r="J278" i="17"/>
  <c r="L278" i="17"/>
  <c r="N278" i="17"/>
  <c r="P278" i="17"/>
  <c r="H278" i="17"/>
  <c r="K278" i="17"/>
  <c r="M278" i="17"/>
  <c r="O278" i="17"/>
  <c r="D278" i="17"/>
  <c r="E216" i="17"/>
  <c r="F216" i="17"/>
  <c r="G216" i="17"/>
  <c r="I216" i="17"/>
  <c r="H216" i="17"/>
  <c r="J216" i="17"/>
  <c r="L216" i="17"/>
  <c r="N216" i="17"/>
  <c r="P216" i="17"/>
  <c r="K216" i="17"/>
  <c r="M216" i="17"/>
  <c r="O216" i="17"/>
  <c r="D216" i="17"/>
  <c r="E154" i="17"/>
  <c r="F154" i="17"/>
  <c r="G154" i="17"/>
  <c r="I154" i="17"/>
  <c r="J154" i="17"/>
  <c r="L154" i="17"/>
  <c r="N154" i="17"/>
  <c r="P154" i="17"/>
  <c r="H154" i="17"/>
  <c r="K154" i="17"/>
  <c r="M154" i="17"/>
  <c r="O154" i="17"/>
  <c r="D154" i="17"/>
  <c r="P45" i="21"/>
  <c r="I44" i="3" s="1"/>
  <c r="P45" i="20"/>
  <c r="J44" i="3" s="1"/>
  <c r="P45" i="19"/>
  <c r="K44" i="3" s="1"/>
  <c r="P47" i="16"/>
  <c r="D46" i="3" s="1"/>
  <c r="P15" i="13"/>
  <c r="G14" i="3" s="1"/>
  <c r="P40" i="16"/>
  <c r="D39" i="3" s="1"/>
  <c r="P43" i="16"/>
  <c r="D42" i="3" s="1"/>
  <c r="P43" i="13"/>
  <c r="G42" i="3" s="1"/>
  <c r="P43" i="12"/>
  <c r="H42" i="3" s="1"/>
  <c r="P43" i="20"/>
  <c r="J42" i="3" s="1"/>
  <c r="H37" i="16"/>
  <c r="L37" i="16"/>
  <c r="P15" i="14"/>
  <c r="F14" i="3" s="1"/>
  <c r="P15" i="20"/>
  <c r="J14" i="3" s="1"/>
  <c r="O37" i="12"/>
  <c r="K37" i="12"/>
  <c r="G37" i="12"/>
  <c r="O37" i="21"/>
  <c r="K37" i="21"/>
  <c r="G37" i="21"/>
  <c r="O37" i="20"/>
  <c r="K37" i="20"/>
  <c r="G37" i="20"/>
  <c r="O37" i="19"/>
  <c r="K37" i="19"/>
  <c r="G37" i="19"/>
  <c r="O37" i="16"/>
  <c r="M37" i="16"/>
  <c r="K37" i="16"/>
  <c r="I37" i="16"/>
  <c r="G37" i="16"/>
  <c r="J37" i="13"/>
  <c r="F37" i="13"/>
  <c r="N37" i="12"/>
  <c r="J37" i="12"/>
  <c r="F37" i="12"/>
  <c r="N37" i="21"/>
  <c r="J37" i="21"/>
  <c r="F37" i="21"/>
  <c r="N37" i="20"/>
  <c r="J37" i="20"/>
  <c r="F37" i="20"/>
  <c r="N37" i="19"/>
  <c r="J37" i="19"/>
  <c r="F37" i="19"/>
  <c r="P45" i="16"/>
  <c r="D44" i="3" s="1"/>
  <c r="P47" i="13"/>
  <c r="G46" i="3" s="1"/>
  <c r="P47" i="12"/>
  <c r="H46" i="3" s="1"/>
  <c r="P47" i="21"/>
  <c r="I46" i="3" s="1"/>
  <c r="P47" i="20"/>
  <c r="J46" i="3" s="1"/>
  <c r="P47" i="19"/>
  <c r="K46" i="3" s="1"/>
  <c r="P15" i="15"/>
  <c r="E14" i="3" s="1"/>
  <c r="P15" i="21"/>
  <c r="I14" i="3" s="1"/>
  <c r="K37" i="13"/>
  <c r="P46" i="13"/>
  <c r="G45" i="3" s="1"/>
  <c r="P46" i="12"/>
  <c r="H45" i="3" s="1"/>
  <c r="P46" i="21"/>
  <c r="I45" i="3" s="1"/>
  <c r="P46" i="20"/>
  <c r="J45" i="3" s="1"/>
  <c r="P46" i="19"/>
  <c r="K45" i="3" s="1"/>
  <c r="P48" i="13"/>
  <c r="G47" i="3" s="1"/>
  <c r="P48" i="12"/>
  <c r="H47" i="3" s="1"/>
  <c r="P48" i="21"/>
  <c r="I47" i="3" s="1"/>
  <c r="P48" i="20"/>
  <c r="J47" i="3" s="1"/>
  <c r="P48" i="19"/>
  <c r="K47" i="3" s="1"/>
  <c r="D37" i="19"/>
  <c r="P41" i="19"/>
  <c r="K40" i="3" s="1"/>
  <c r="D41" i="17"/>
  <c r="E34" i="18"/>
  <c r="H12" i="8"/>
  <c r="E309" i="17"/>
  <c r="H309" i="17"/>
  <c r="I309" i="17"/>
  <c r="K309" i="17"/>
  <c r="M309" i="17"/>
  <c r="O309" i="17"/>
  <c r="G309" i="17"/>
  <c r="J309" i="17"/>
  <c r="L309" i="17"/>
  <c r="N309" i="17"/>
  <c r="P309" i="17"/>
  <c r="D309" i="17"/>
  <c r="E247" i="17"/>
  <c r="G247" i="17"/>
  <c r="F247" i="17"/>
  <c r="H247" i="17"/>
  <c r="K247" i="17"/>
  <c r="M247" i="17"/>
  <c r="O247" i="17"/>
  <c r="I247" i="17"/>
  <c r="J247" i="17"/>
  <c r="L247" i="17"/>
  <c r="N247" i="17"/>
  <c r="P247" i="17"/>
  <c r="D247" i="17"/>
  <c r="E185" i="17"/>
  <c r="G185" i="17"/>
  <c r="F185" i="17"/>
  <c r="H185" i="17"/>
  <c r="I185" i="17"/>
  <c r="K185" i="17"/>
  <c r="M185" i="17"/>
  <c r="O185" i="17"/>
  <c r="J185" i="17"/>
  <c r="L185" i="17"/>
  <c r="N185" i="17"/>
  <c r="P185" i="17"/>
  <c r="D185" i="17"/>
  <c r="E123" i="17"/>
  <c r="G123" i="17"/>
  <c r="F123" i="17"/>
  <c r="H123" i="17"/>
  <c r="J123" i="17"/>
  <c r="K123" i="17"/>
  <c r="M123" i="17"/>
  <c r="O123" i="17"/>
  <c r="I123" i="17"/>
  <c r="L123" i="17"/>
  <c r="N123" i="17"/>
  <c r="P123" i="17"/>
  <c r="D123" i="17"/>
  <c r="E65" i="18"/>
  <c r="E14" i="19"/>
  <c r="P41" i="16"/>
  <c r="D40" i="3" s="1"/>
  <c r="P45" i="12"/>
  <c r="H44" i="3" s="1"/>
  <c r="P43" i="21"/>
  <c r="I42" i="3" s="1"/>
  <c r="P43" i="19"/>
  <c r="K42" i="3" s="1"/>
  <c r="P46" i="16"/>
  <c r="D45" i="3" s="1"/>
  <c r="P48" i="16"/>
  <c r="D47" i="3" s="1"/>
  <c r="P37" i="16" l="1"/>
  <c r="D36" i="3" s="1"/>
  <c r="P14" i="12"/>
  <c r="H13" i="3" s="1"/>
  <c r="P14" i="20"/>
  <c r="J13" i="3" s="1"/>
  <c r="P14" i="21"/>
  <c r="I13" i="3" s="1"/>
  <c r="P14" i="14"/>
  <c r="F13" i="3" s="1"/>
  <c r="AC2" i="17"/>
  <c r="M52" i="12" s="1"/>
  <c r="U2" i="17"/>
  <c r="E52" i="16" s="1"/>
  <c r="E51" i="16" s="1"/>
  <c r="E56" i="16" s="1"/>
  <c r="E57" i="16" s="1"/>
  <c r="AB2" i="17"/>
  <c r="L52" i="13" s="1"/>
  <c r="Z2" i="17"/>
  <c r="J52" i="21" s="1"/>
  <c r="H56" i="8"/>
  <c r="H5" i="8" s="1"/>
  <c r="G56" i="8"/>
  <c r="G5" i="8" s="1"/>
  <c r="L3" i="8" s="1"/>
  <c r="D16" i="18" s="1"/>
  <c r="T2" i="17"/>
  <c r="D52" i="16" s="1"/>
  <c r="E47" i="2"/>
  <c r="G47" i="2" s="1"/>
  <c r="G16" i="2"/>
  <c r="P37" i="15"/>
  <c r="E36" i="3" s="1"/>
  <c r="P14" i="15"/>
  <c r="E13" i="3" s="1"/>
  <c r="M24" i="19"/>
  <c r="G24" i="21"/>
  <c r="L24" i="12"/>
  <c r="F24" i="14"/>
  <c r="K24" i="15"/>
  <c r="O24" i="16"/>
  <c r="I24" i="20"/>
  <c r="N24" i="21"/>
  <c r="H24" i="13"/>
  <c r="M24" i="14"/>
  <c r="F24" i="16"/>
  <c r="O24" i="13"/>
  <c r="O24" i="19"/>
  <c r="I24" i="21"/>
  <c r="N24" i="12"/>
  <c r="H24" i="14"/>
  <c r="M24" i="15"/>
  <c r="F24" i="19"/>
  <c r="K24" i="20"/>
  <c r="E24" i="12"/>
  <c r="J24" i="13"/>
  <c r="O24" i="14"/>
  <c r="H24" i="16"/>
  <c r="E24" i="21"/>
  <c r="I24" i="15"/>
  <c r="K24" i="14"/>
  <c r="F24" i="20"/>
  <c r="K24" i="21"/>
  <c r="E24" i="13"/>
  <c r="J24" i="14"/>
  <c r="O24" i="15"/>
  <c r="H24" i="19"/>
  <c r="M24" i="20"/>
  <c r="G24" i="12"/>
  <c r="L24" i="13"/>
  <c r="F24" i="15"/>
  <c r="J24" i="16"/>
  <c r="L24" i="21"/>
  <c r="H24" i="20"/>
  <c r="M24" i="21"/>
  <c r="G24" i="13"/>
  <c r="L24" i="14"/>
  <c r="E24" i="16"/>
  <c r="J24" i="19"/>
  <c r="O24" i="20"/>
  <c r="I24" i="12"/>
  <c r="N24" i="13"/>
  <c r="H24" i="15"/>
  <c r="L24" i="16"/>
  <c r="F24" i="13"/>
  <c r="E24" i="19"/>
  <c r="J24" i="20"/>
  <c r="O24" i="21"/>
  <c r="I24" i="13"/>
  <c r="N24" i="14"/>
  <c r="G24" i="16"/>
  <c r="L24" i="19"/>
  <c r="F24" i="21"/>
  <c r="K24" i="12"/>
  <c r="E24" i="14"/>
  <c r="J24" i="15"/>
  <c r="N24" i="16"/>
  <c r="K24" i="19"/>
  <c r="G24" i="20"/>
  <c r="G24" i="19"/>
  <c r="L24" i="20"/>
  <c r="F24" i="12"/>
  <c r="K24" i="13"/>
  <c r="E24" i="15"/>
  <c r="I24" i="16"/>
  <c r="N24" i="19"/>
  <c r="H24" i="21"/>
  <c r="M24" i="12"/>
  <c r="G24" i="14"/>
  <c r="L24" i="15"/>
  <c r="I24" i="19"/>
  <c r="N24" i="20"/>
  <c r="H24" i="12"/>
  <c r="M24" i="13"/>
  <c r="G24" i="15"/>
  <c r="K24" i="16"/>
  <c r="E24" i="20"/>
  <c r="J24" i="21"/>
  <c r="O24" i="12"/>
  <c r="I24" i="14"/>
  <c r="N24" i="15"/>
  <c r="J24" i="12"/>
  <c r="M24" i="16"/>
  <c r="D24" i="16"/>
  <c r="P14" i="13"/>
  <c r="G13" i="3" s="1"/>
  <c r="D30" i="17"/>
  <c r="E13" i="18"/>
  <c r="Y2" i="17"/>
  <c r="I52" i="16" s="1"/>
  <c r="I51" i="16" s="1"/>
  <c r="I56" i="16" s="1"/>
  <c r="I57" i="16" s="1"/>
  <c r="P37" i="14"/>
  <c r="F36" i="3" s="1"/>
  <c r="X2" i="17"/>
  <c r="H52" i="14" s="1"/>
  <c r="P37" i="19"/>
  <c r="K36" i="3" s="1"/>
  <c r="V2" i="17"/>
  <c r="F52" i="20" s="1"/>
  <c r="M52" i="15"/>
  <c r="M52" i="16"/>
  <c r="M51" i="16" s="1"/>
  <c r="M56" i="16" s="1"/>
  <c r="M57" i="16" s="1"/>
  <c r="H14" i="9"/>
  <c r="P14" i="16"/>
  <c r="D13" i="3" s="1"/>
  <c r="AE2" i="17"/>
  <c r="AA2" i="17"/>
  <c r="AD2" i="17"/>
  <c r="W2" i="17"/>
  <c r="P37" i="20"/>
  <c r="J36" i="3" s="1"/>
  <c r="P37" i="21"/>
  <c r="I36" i="3" s="1"/>
  <c r="P37" i="12"/>
  <c r="H36" i="3" s="1"/>
  <c r="P37" i="13"/>
  <c r="G36" i="3" s="1"/>
  <c r="D31" i="17"/>
  <c r="E31" i="19"/>
  <c r="G31" i="19"/>
  <c r="I31" i="19"/>
  <c r="K31" i="19"/>
  <c r="M31" i="19"/>
  <c r="O31" i="19"/>
  <c r="F31" i="20"/>
  <c r="H31" i="20"/>
  <c r="J31" i="20"/>
  <c r="L31" i="20"/>
  <c r="N31" i="20"/>
  <c r="E31" i="21"/>
  <c r="G31" i="21"/>
  <c r="I31" i="21"/>
  <c r="K31" i="21"/>
  <c r="M31" i="21"/>
  <c r="O31" i="21"/>
  <c r="F31" i="12"/>
  <c r="H31" i="12"/>
  <c r="J31" i="12"/>
  <c r="L31" i="12"/>
  <c r="N31" i="12"/>
  <c r="E31" i="13"/>
  <c r="G31" i="13"/>
  <c r="I31" i="13"/>
  <c r="K31" i="13"/>
  <c r="M31" i="13"/>
  <c r="O31" i="13"/>
  <c r="F31" i="14"/>
  <c r="H31" i="14"/>
  <c r="J31" i="14"/>
  <c r="L31" i="14"/>
  <c r="N31" i="14"/>
  <c r="E31" i="15"/>
  <c r="G31" i="15"/>
  <c r="I31" i="15"/>
  <c r="K31" i="15"/>
  <c r="M31" i="15"/>
  <c r="O31" i="15"/>
  <c r="E31" i="16"/>
  <c r="G31" i="16"/>
  <c r="I31" i="16"/>
  <c r="K31" i="16"/>
  <c r="M31" i="16"/>
  <c r="O31" i="16"/>
  <c r="F31" i="19"/>
  <c r="H31" i="19"/>
  <c r="J31" i="19"/>
  <c r="L31" i="19"/>
  <c r="N31" i="19"/>
  <c r="E31" i="20"/>
  <c r="G31" i="20"/>
  <c r="I31" i="20"/>
  <c r="K31" i="20"/>
  <c r="M31" i="20"/>
  <c r="O31" i="20"/>
  <c r="F31" i="21"/>
  <c r="H31" i="21"/>
  <c r="J31" i="21"/>
  <c r="L31" i="21"/>
  <c r="N31" i="21"/>
  <c r="E31" i="12"/>
  <c r="G31" i="12"/>
  <c r="I31" i="12"/>
  <c r="K31" i="12"/>
  <c r="M31" i="12"/>
  <c r="O31" i="12"/>
  <c r="F31" i="13"/>
  <c r="H31" i="13"/>
  <c r="J31" i="13"/>
  <c r="L31" i="13"/>
  <c r="N31" i="13"/>
  <c r="E31" i="14"/>
  <c r="G31" i="14"/>
  <c r="I31" i="14"/>
  <c r="K31" i="14"/>
  <c r="M31" i="14"/>
  <c r="O31" i="14"/>
  <c r="F31" i="15"/>
  <c r="H31" i="15"/>
  <c r="J31" i="15"/>
  <c r="L31" i="15"/>
  <c r="N31" i="15"/>
  <c r="D31" i="16"/>
  <c r="F31" i="16"/>
  <c r="H31" i="16"/>
  <c r="J31" i="16"/>
  <c r="L31" i="16"/>
  <c r="N31" i="16"/>
  <c r="E80" i="8"/>
  <c r="G80" i="8" s="1"/>
  <c r="H80" i="8" s="1"/>
  <c r="G70" i="8"/>
  <c r="E71" i="8"/>
  <c r="G71" i="8" s="1"/>
  <c r="H71" i="8" s="1"/>
  <c r="E72" i="8"/>
  <c r="G72" i="8" s="1"/>
  <c r="H72" i="8" s="1"/>
  <c r="G15" i="9"/>
  <c r="H15" i="9" s="1"/>
  <c r="E18" i="9"/>
  <c r="G18" i="9" s="1"/>
  <c r="H18" i="9" s="1"/>
  <c r="E14" i="7"/>
  <c r="G14" i="7" s="1"/>
  <c r="E95" i="7"/>
  <c r="E73" i="7"/>
  <c r="E49" i="7"/>
  <c r="E31" i="7"/>
  <c r="G31" i="7" s="1"/>
  <c r="F15" i="3"/>
  <c r="H15" i="3"/>
  <c r="J15" i="3"/>
  <c r="E15" i="3"/>
  <c r="G15" i="3"/>
  <c r="I15" i="3"/>
  <c r="K15" i="3"/>
  <c r="P14" i="19"/>
  <c r="K13" i="3" s="1"/>
  <c r="M52" i="13" l="1"/>
  <c r="M52" i="21"/>
  <c r="M52" i="20"/>
  <c r="M52" i="19"/>
  <c r="L52" i="16"/>
  <c r="L51" i="16" s="1"/>
  <c r="L56" i="16" s="1"/>
  <c r="L57" i="16" s="1"/>
  <c r="L52" i="15"/>
  <c r="E52" i="19"/>
  <c r="P24" i="20"/>
  <c r="J23" i="3" s="1"/>
  <c r="M52" i="14"/>
  <c r="L52" i="12"/>
  <c r="L52" i="21"/>
  <c r="L52" i="20"/>
  <c r="L52" i="19"/>
  <c r="L52" i="14"/>
  <c r="E52" i="14"/>
  <c r="E52" i="13"/>
  <c r="E52" i="21"/>
  <c r="E52" i="20"/>
  <c r="E52" i="15"/>
  <c r="E52" i="12"/>
  <c r="D52" i="14"/>
  <c r="D52" i="15"/>
  <c r="D52" i="12"/>
  <c r="D52" i="20"/>
  <c r="J52" i="20"/>
  <c r="J52" i="19"/>
  <c r="J52" i="15"/>
  <c r="F52" i="14"/>
  <c r="H52" i="13"/>
  <c r="I52" i="14"/>
  <c r="D52" i="13"/>
  <c r="J52" i="16"/>
  <c r="J51" i="16" s="1"/>
  <c r="J56" i="16" s="1"/>
  <c r="J57" i="16" s="1"/>
  <c r="J59" i="16" s="1"/>
  <c r="I52" i="12"/>
  <c r="D52" i="21"/>
  <c r="J52" i="14"/>
  <c r="I52" i="21"/>
  <c r="J52" i="13"/>
  <c r="I52" i="20"/>
  <c r="D52" i="19"/>
  <c r="J52" i="12"/>
  <c r="I52" i="13"/>
  <c r="H52" i="21"/>
  <c r="P24" i="16"/>
  <c r="D23" i="3" s="1"/>
  <c r="H52" i="12"/>
  <c r="E16" i="18"/>
  <c r="L20" i="19"/>
  <c r="F20" i="21"/>
  <c r="K20" i="12"/>
  <c r="E20" i="14"/>
  <c r="J20" i="15"/>
  <c r="N20" i="16"/>
  <c r="H20" i="20"/>
  <c r="M20" i="21"/>
  <c r="G20" i="13"/>
  <c r="L20" i="14"/>
  <c r="E20" i="16"/>
  <c r="N20" i="19"/>
  <c r="H20" i="21"/>
  <c r="M20" i="12"/>
  <c r="G20" i="14"/>
  <c r="L20" i="15"/>
  <c r="E20" i="19"/>
  <c r="J20" i="20"/>
  <c r="O20" i="21"/>
  <c r="I20" i="13"/>
  <c r="N20" i="14"/>
  <c r="G20" i="16"/>
  <c r="I20" i="12"/>
  <c r="F20" i="20"/>
  <c r="J20" i="14"/>
  <c r="E20" i="20"/>
  <c r="J20" i="21"/>
  <c r="O20" i="12"/>
  <c r="I20" i="14"/>
  <c r="N20" i="15"/>
  <c r="G20" i="19"/>
  <c r="L20" i="20"/>
  <c r="F20" i="12"/>
  <c r="K20" i="13"/>
  <c r="E20" i="15"/>
  <c r="I20" i="16"/>
  <c r="G20" i="20"/>
  <c r="L20" i="21"/>
  <c r="F20" i="13"/>
  <c r="K20" i="14"/>
  <c r="D20" i="16"/>
  <c r="I20" i="19"/>
  <c r="N20" i="20"/>
  <c r="H20" i="12"/>
  <c r="M20" i="13"/>
  <c r="G20" i="15"/>
  <c r="K20" i="16"/>
  <c r="J20" i="19"/>
  <c r="L20" i="16"/>
  <c r="I20" i="20"/>
  <c r="N20" i="21"/>
  <c r="H20" i="13"/>
  <c r="M20" i="14"/>
  <c r="F20" i="16"/>
  <c r="K20" i="19"/>
  <c r="E20" i="21"/>
  <c r="J20" i="12"/>
  <c r="O20" i="13"/>
  <c r="I20" i="15"/>
  <c r="M20" i="16"/>
  <c r="O20" i="20"/>
  <c r="H20" i="15"/>
  <c r="E20" i="13"/>
  <c r="F20" i="19"/>
  <c r="K20" i="20"/>
  <c r="E20" i="12"/>
  <c r="J20" i="13"/>
  <c r="O20" i="14"/>
  <c r="H20" i="16"/>
  <c r="M20" i="19"/>
  <c r="G20" i="21"/>
  <c r="L20" i="12"/>
  <c r="F20" i="14"/>
  <c r="K20" i="15"/>
  <c r="O20" i="16"/>
  <c r="H20" i="19"/>
  <c r="M20" i="20"/>
  <c r="G20" i="12"/>
  <c r="L20" i="13"/>
  <c r="F20" i="15"/>
  <c r="J20" i="16"/>
  <c r="O20" i="19"/>
  <c r="I20" i="21"/>
  <c r="N20" i="12"/>
  <c r="H20" i="14"/>
  <c r="M20" i="15"/>
  <c r="N20" i="13"/>
  <c r="K20" i="21"/>
  <c r="O20" i="15"/>
  <c r="P24" i="19"/>
  <c r="K23" i="3" s="1"/>
  <c r="H52" i="20"/>
  <c r="P24" i="21"/>
  <c r="I23" i="3" s="1"/>
  <c r="H52" i="19"/>
  <c r="H52" i="16"/>
  <c r="H51" i="16" s="1"/>
  <c r="H56" i="16" s="1"/>
  <c r="H57" i="16" s="1"/>
  <c r="H59" i="16" s="1"/>
  <c r="I52" i="19"/>
  <c r="H52" i="15"/>
  <c r="P24" i="15"/>
  <c r="E23" i="3" s="1"/>
  <c r="P24" i="13"/>
  <c r="G23" i="3" s="1"/>
  <c r="P24" i="14"/>
  <c r="F23" i="3" s="1"/>
  <c r="P24" i="12"/>
  <c r="H23" i="3" s="1"/>
  <c r="F52" i="19"/>
  <c r="F52" i="21"/>
  <c r="I52" i="15"/>
  <c r="F52" i="12"/>
  <c r="F52" i="13"/>
  <c r="F52" i="16"/>
  <c r="F51" i="16" s="1"/>
  <c r="F56" i="16" s="1"/>
  <c r="F57" i="16" s="1"/>
  <c r="F59" i="16" s="1"/>
  <c r="F52" i="15"/>
  <c r="H31" i="7"/>
  <c r="H38" i="7" s="1"/>
  <c r="H24" i="7" s="1"/>
  <c r="G38" i="7"/>
  <c r="G24" i="7" s="1"/>
  <c r="L3" i="7" s="1"/>
  <c r="D20" i="18" s="1"/>
  <c r="G73" i="7"/>
  <c r="E74" i="7"/>
  <c r="G19" i="7"/>
  <c r="G5" i="7" s="1"/>
  <c r="K3" i="7" s="1"/>
  <c r="D19" i="18" s="1"/>
  <c r="H14" i="7"/>
  <c r="H19" i="7" s="1"/>
  <c r="H5" i="7" s="1"/>
  <c r="F21" i="19"/>
  <c r="H21" i="19"/>
  <c r="J21" i="19"/>
  <c r="L21" i="19"/>
  <c r="N21" i="19"/>
  <c r="E21" i="20"/>
  <c r="G21" i="20"/>
  <c r="I21" i="20"/>
  <c r="K21" i="20"/>
  <c r="M21" i="20"/>
  <c r="O21" i="20"/>
  <c r="F21" i="21"/>
  <c r="H21" i="21"/>
  <c r="J21" i="21"/>
  <c r="L21" i="21"/>
  <c r="N21" i="21"/>
  <c r="E21" i="12"/>
  <c r="G21" i="12"/>
  <c r="I21" i="12"/>
  <c r="K21" i="12"/>
  <c r="M21" i="12"/>
  <c r="O21" i="12"/>
  <c r="F21" i="13"/>
  <c r="H21" i="13"/>
  <c r="J21" i="13"/>
  <c r="L21" i="13"/>
  <c r="N21" i="13"/>
  <c r="E21" i="14"/>
  <c r="G21" i="14"/>
  <c r="I21" i="14"/>
  <c r="K21" i="14"/>
  <c r="M21" i="14"/>
  <c r="O21" i="14"/>
  <c r="F21" i="15"/>
  <c r="H21" i="15"/>
  <c r="J21" i="15"/>
  <c r="L21" i="15"/>
  <c r="N21" i="15"/>
  <c r="D21" i="16"/>
  <c r="F21" i="16"/>
  <c r="H21" i="16"/>
  <c r="J21" i="16"/>
  <c r="L21" i="16"/>
  <c r="N21" i="16"/>
  <c r="E21" i="19"/>
  <c r="G21" i="19"/>
  <c r="I21" i="19"/>
  <c r="K21" i="19"/>
  <c r="M21" i="19"/>
  <c r="O21" i="19"/>
  <c r="F21" i="20"/>
  <c r="H21" i="20"/>
  <c r="J21" i="20"/>
  <c r="L21" i="20"/>
  <c r="N21" i="20"/>
  <c r="E21" i="21"/>
  <c r="G21" i="21"/>
  <c r="I21" i="21"/>
  <c r="K21" i="21"/>
  <c r="M21" i="21"/>
  <c r="O21" i="21"/>
  <c r="F21" i="12"/>
  <c r="H21" i="12"/>
  <c r="J21" i="12"/>
  <c r="L21" i="12"/>
  <c r="N21" i="12"/>
  <c r="E21" i="13"/>
  <c r="G21" i="13"/>
  <c r="I21" i="13"/>
  <c r="K21" i="13"/>
  <c r="M21" i="13"/>
  <c r="O21" i="13"/>
  <c r="F21" i="14"/>
  <c r="H21" i="14"/>
  <c r="J21" i="14"/>
  <c r="L21" i="14"/>
  <c r="N21" i="14"/>
  <c r="E21" i="15"/>
  <c r="G21" i="15"/>
  <c r="I21" i="15"/>
  <c r="K21" i="15"/>
  <c r="M21" i="15"/>
  <c r="O21" i="15"/>
  <c r="E21" i="16"/>
  <c r="G21" i="16"/>
  <c r="I21" i="16"/>
  <c r="K21" i="16"/>
  <c r="M21" i="16"/>
  <c r="O21" i="16"/>
  <c r="G52" i="19"/>
  <c r="G52" i="20"/>
  <c r="G52" i="21"/>
  <c r="G52" i="12"/>
  <c r="G52" i="13"/>
  <c r="G52" i="14"/>
  <c r="G52" i="15"/>
  <c r="G52" i="16"/>
  <c r="G51" i="16" s="1"/>
  <c r="G56" i="16" s="1"/>
  <c r="G57" i="16" s="1"/>
  <c r="K52" i="19"/>
  <c r="K52" i="20"/>
  <c r="K52" i="21"/>
  <c r="K52" i="12"/>
  <c r="K52" i="13"/>
  <c r="K52" i="14"/>
  <c r="K52" i="15"/>
  <c r="K52" i="16"/>
  <c r="K51" i="16" s="1"/>
  <c r="K56" i="16" s="1"/>
  <c r="K57" i="16" s="1"/>
  <c r="M59" i="16"/>
  <c r="L59" i="16"/>
  <c r="E59" i="16"/>
  <c r="G49" i="7"/>
  <c r="E50" i="7"/>
  <c r="G95" i="7"/>
  <c r="E96" i="7"/>
  <c r="G94" i="8"/>
  <c r="G63" i="8" s="1"/>
  <c r="M3" i="8" s="1"/>
  <c r="D17" i="18" s="1"/>
  <c r="H70" i="8"/>
  <c r="H94" i="8" s="1"/>
  <c r="H63" i="8" s="1"/>
  <c r="D51" i="16"/>
  <c r="N52" i="19"/>
  <c r="N52" i="20"/>
  <c r="N52" i="21"/>
  <c r="N52" i="12"/>
  <c r="N52" i="13"/>
  <c r="N52" i="14"/>
  <c r="N52" i="15"/>
  <c r="N52" i="16"/>
  <c r="N51" i="16" s="1"/>
  <c r="N56" i="16" s="1"/>
  <c r="N57" i="16" s="1"/>
  <c r="O52" i="19"/>
  <c r="O52" i="20"/>
  <c r="O52" i="21"/>
  <c r="O52" i="12"/>
  <c r="O52" i="13"/>
  <c r="O52" i="14"/>
  <c r="O52" i="15"/>
  <c r="O52" i="16"/>
  <c r="O51" i="16" s="1"/>
  <c r="O56" i="16" s="1"/>
  <c r="O57" i="16" s="1"/>
  <c r="P31" i="14"/>
  <c r="F30" i="3" s="1"/>
  <c r="P31" i="20"/>
  <c r="J30" i="3" s="1"/>
  <c r="P31" i="13"/>
  <c r="G30" i="3" s="1"/>
  <c r="P31" i="19"/>
  <c r="K30" i="3" s="1"/>
  <c r="H24" i="9"/>
  <c r="H5" i="9" s="1"/>
  <c r="P31" i="16"/>
  <c r="D30" i="3" s="1"/>
  <c r="P31" i="12"/>
  <c r="H30" i="3" s="1"/>
  <c r="P31" i="15"/>
  <c r="E30" i="3" s="1"/>
  <c r="P31" i="21"/>
  <c r="I30" i="3" s="1"/>
  <c r="G24" i="9"/>
  <c r="G5" i="9" s="1"/>
  <c r="K3" i="9" s="1"/>
  <c r="D12" i="18" s="1"/>
  <c r="P20" i="21" l="1"/>
  <c r="I19" i="3" s="1"/>
  <c r="P20" i="13"/>
  <c r="G19" i="3" s="1"/>
  <c r="P52" i="21"/>
  <c r="I51" i="3" s="1"/>
  <c r="P20" i="14"/>
  <c r="F19" i="3" s="1"/>
  <c r="P20" i="15"/>
  <c r="E19" i="3" s="1"/>
  <c r="P20" i="12"/>
  <c r="H19" i="3" s="1"/>
  <c r="P20" i="20"/>
  <c r="J19" i="3" s="1"/>
  <c r="P20" i="16"/>
  <c r="D19" i="3" s="1"/>
  <c r="P20" i="19"/>
  <c r="K19" i="3" s="1"/>
  <c r="P52" i="13"/>
  <c r="G51" i="3" s="1"/>
  <c r="P52" i="19"/>
  <c r="K51" i="3" s="1"/>
  <c r="P52" i="15"/>
  <c r="E51" i="3" s="1"/>
  <c r="E12" i="18"/>
  <c r="D56" i="16"/>
  <c r="P51" i="16"/>
  <c r="D50" i="3" s="1"/>
  <c r="E17" i="18"/>
  <c r="H95" i="7"/>
  <c r="H49" i="7"/>
  <c r="H60" i="16"/>
  <c r="H63" i="16" s="1"/>
  <c r="J60" i="16"/>
  <c r="J63" i="16" s="1"/>
  <c r="F60" i="16"/>
  <c r="F63" i="16" s="1"/>
  <c r="L60" i="16"/>
  <c r="L63" i="16" s="1"/>
  <c r="P21" i="13"/>
  <c r="P21" i="19"/>
  <c r="P21" i="16"/>
  <c r="P21" i="12"/>
  <c r="D32" i="17"/>
  <c r="E19" i="18"/>
  <c r="H73" i="7"/>
  <c r="N59" i="16"/>
  <c r="G96" i="7"/>
  <c r="H96" i="7" s="1"/>
  <c r="E97" i="7"/>
  <c r="G97" i="7" s="1"/>
  <c r="H97" i="7" s="1"/>
  <c r="G50" i="7"/>
  <c r="H50" i="7" s="1"/>
  <c r="E51" i="7"/>
  <c r="G51" i="7" s="1"/>
  <c r="H51" i="7" s="1"/>
  <c r="E60" i="16"/>
  <c r="E63" i="16" s="1"/>
  <c r="M60" i="16"/>
  <c r="M63" i="16" s="1"/>
  <c r="K59" i="16"/>
  <c r="G59" i="16"/>
  <c r="P21" i="15"/>
  <c r="P21" i="21"/>
  <c r="P21" i="14"/>
  <c r="P21" i="20"/>
  <c r="G74" i="7"/>
  <c r="H74" i="7" s="1"/>
  <c r="E75" i="7"/>
  <c r="G75" i="7" s="1"/>
  <c r="H75" i="7" s="1"/>
  <c r="E20" i="18"/>
  <c r="P52" i="20"/>
  <c r="J51" i="3" s="1"/>
  <c r="P52" i="12"/>
  <c r="H51" i="3" s="1"/>
  <c r="P52" i="14"/>
  <c r="F51" i="3" s="1"/>
  <c r="P52" i="16"/>
  <c r="D51" i="3" s="1"/>
  <c r="H61" i="16" l="1"/>
  <c r="M61" i="16"/>
  <c r="E61" i="16"/>
  <c r="L61" i="16"/>
  <c r="F61" i="16"/>
  <c r="J61" i="16"/>
  <c r="G60" i="16"/>
  <c r="G63" i="16" s="1"/>
  <c r="K60" i="16"/>
  <c r="K63" i="16" s="1"/>
  <c r="N60" i="16"/>
  <c r="N63" i="16" s="1"/>
  <c r="J20" i="3"/>
  <c r="F20" i="3"/>
  <c r="I20" i="3"/>
  <c r="E20" i="3"/>
  <c r="F22" i="19"/>
  <c r="F19" i="19" s="1"/>
  <c r="H22" i="19"/>
  <c r="H19" i="19" s="1"/>
  <c r="J22" i="19"/>
  <c r="J19" i="19" s="1"/>
  <c r="L22" i="19"/>
  <c r="L19" i="19" s="1"/>
  <c r="N22" i="19"/>
  <c r="N19" i="19" s="1"/>
  <c r="E22" i="20"/>
  <c r="G22" i="20"/>
  <c r="G19" i="20" s="1"/>
  <c r="I22" i="20"/>
  <c r="I19" i="20" s="1"/>
  <c r="K22" i="20"/>
  <c r="K19" i="20" s="1"/>
  <c r="M22" i="20"/>
  <c r="M19" i="20" s="1"/>
  <c r="O22" i="20"/>
  <c r="O19" i="20" s="1"/>
  <c r="F22" i="21"/>
  <c r="F19" i="21" s="1"/>
  <c r="H22" i="21"/>
  <c r="H19" i="21" s="1"/>
  <c r="J22" i="21"/>
  <c r="J19" i="21" s="1"/>
  <c r="L22" i="21"/>
  <c r="L19" i="21" s="1"/>
  <c r="N22" i="21"/>
  <c r="N19" i="21" s="1"/>
  <c r="E22" i="12"/>
  <c r="G22" i="12"/>
  <c r="G19" i="12" s="1"/>
  <c r="I22" i="12"/>
  <c r="I19" i="12" s="1"/>
  <c r="K22" i="12"/>
  <c r="K19" i="12" s="1"/>
  <c r="M22" i="12"/>
  <c r="M19" i="12" s="1"/>
  <c r="O22" i="12"/>
  <c r="O19" i="12" s="1"/>
  <c r="F22" i="13"/>
  <c r="F19" i="13" s="1"/>
  <c r="H22" i="13"/>
  <c r="H19" i="13" s="1"/>
  <c r="J22" i="13"/>
  <c r="J19" i="13" s="1"/>
  <c r="L22" i="13"/>
  <c r="L19" i="13" s="1"/>
  <c r="N22" i="13"/>
  <c r="N19" i="13" s="1"/>
  <c r="E22" i="14"/>
  <c r="G22" i="14"/>
  <c r="G19" i="14" s="1"/>
  <c r="I22" i="14"/>
  <c r="I19" i="14" s="1"/>
  <c r="K22" i="14"/>
  <c r="K19" i="14" s="1"/>
  <c r="M22" i="14"/>
  <c r="M19" i="14" s="1"/>
  <c r="O22" i="14"/>
  <c r="O19" i="14" s="1"/>
  <c r="F22" i="15"/>
  <c r="F19" i="15" s="1"/>
  <c r="H22" i="15"/>
  <c r="H19" i="15" s="1"/>
  <c r="J22" i="15"/>
  <c r="J19" i="15" s="1"/>
  <c r="L22" i="15"/>
  <c r="L19" i="15" s="1"/>
  <c r="N22" i="15"/>
  <c r="N19" i="15" s="1"/>
  <c r="D22" i="16"/>
  <c r="F22" i="16"/>
  <c r="F19" i="16" s="1"/>
  <c r="H22" i="16"/>
  <c r="H19" i="16" s="1"/>
  <c r="J22" i="16"/>
  <c r="J19" i="16" s="1"/>
  <c r="L22" i="16"/>
  <c r="L19" i="16" s="1"/>
  <c r="N22" i="16"/>
  <c r="N19" i="16" s="1"/>
  <c r="E22" i="19"/>
  <c r="G22" i="19"/>
  <c r="G19" i="19" s="1"/>
  <c r="I22" i="19"/>
  <c r="I19" i="19" s="1"/>
  <c r="K22" i="19"/>
  <c r="K19" i="19" s="1"/>
  <c r="M22" i="19"/>
  <c r="M19" i="19" s="1"/>
  <c r="O22" i="19"/>
  <c r="O19" i="19" s="1"/>
  <c r="F22" i="20"/>
  <c r="F19" i="20" s="1"/>
  <c r="H22" i="20"/>
  <c r="H19" i="20" s="1"/>
  <c r="J22" i="20"/>
  <c r="J19" i="20" s="1"/>
  <c r="L22" i="20"/>
  <c r="L19" i="20" s="1"/>
  <c r="N22" i="20"/>
  <c r="N19" i="20" s="1"/>
  <c r="E22" i="21"/>
  <c r="G22" i="21"/>
  <c r="G19" i="21" s="1"/>
  <c r="I22" i="21"/>
  <c r="I19" i="21" s="1"/>
  <c r="K22" i="21"/>
  <c r="K19" i="21" s="1"/>
  <c r="M22" i="21"/>
  <c r="M19" i="21" s="1"/>
  <c r="O22" i="21"/>
  <c r="O19" i="21" s="1"/>
  <c r="F22" i="12"/>
  <c r="F19" i="12" s="1"/>
  <c r="H22" i="12"/>
  <c r="H19" i="12" s="1"/>
  <c r="J22" i="12"/>
  <c r="J19" i="12" s="1"/>
  <c r="L22" i="12"/>
  <c r="L19" i="12" s="1"/>
  <c r="N22" i="12"/>
  <c r="N19" i="12" s="1"/>
  <c r="E22" i="13"/>
  <c r="G22" i="13"/>
  <c r="G19" i="13" s="1"/>
  <c r="I22" i="13"/>
  <c r="I19" i="13" s="1"/>
  <c r="K22" i="13"/>
  <c r="K19" i="13" s="1"/>
  <c r="M22" i="13"/>
  <c r="M19" i="13" s="1"/>
  <c r="O22" i="13"/>
  <c r="O19" i="13" s="1"/>
  <c r="F22" i="14"/>
  <c r="F19" i="14" s="1"/>
  <c r="H22" i="14"/>
  <c r="H19" i="14" s="1"/>
  <c r="J22" i="14"/>
  <c r="J19" i="14" s="1"/>
  <c r="L22" i="14"/>
  <c r="L19" i="14" s="1"/>
  <c r="N22" i="14"/>
  <c r="N19" i="14" s="1"/>
  <c r="E22" i="15"/>
  <c r="G22" i="15"/>
  <c r="G19" i="15" s="1"/>
  <c r="I22" i="15"/>
  <c r="I19" i="15" s="1"/>
  <c r="K22" i="15"/>
  <c r="K19" i="15" s="1"/>
  <c r="M22" i="15"/>
  <c r="M19" i="15" s="1"/>
  <c r="O22" i="15"/>
  <c r="O19" i="15" s="1"/>
  <c r="E22" i="16"/>
  <c r="E19" i="16" s="1"/>
  <c r="G22" i="16"/>
  <c r="G19" i="16" s="1"/>
  <c r="I22" i="16"/>
  <c r="I19" i="16" s="1"/>
  <c r="K22" i="16"/>
  <c r="K19" i="16" s="1"/>
  <c r="M22" i="16"/>
  <c r="M19" i="16" s="1"/>
  <c r="O22" i="16"/>
  <c r="O19" i="16" s="1"/>
  <c r="D42" i="17"/>
  <c r="M42" i="17"/>
  <c r="I42" i="17"/>
  <c r="E42" i="17"/>
  <c r="N42" i="17"/>
  <c r="J42" i="17"/>
  <c r="F42" i="17"/>
  <c r="O42" i="17"/>
  <c r="K42" i="17"/>
  <c r="G42" i="17"/>
  <c r="P42" i="17"/>
  <c r="L42" i="17"/>
  <c r="H42" i="17"/>
  <c r="H20" i="3"/>
  <c r="D20" i="3"/>
  <c r="K20" i="3"/>
  <c r="G20" i="3"/>
  <c r="G84" i="7"/>
  <c r="G67" i="7" s="1"/>
  <c r="N3" i="7" s="1"/>
  <c r="D22" i="18" s="1"/>
  <c r="G60" i="7"/>
  <c r="G42" i="7" s="1"/>
  <c r="M3" i="7" s="1"/>
  <c r="D21" i="18" s="1"/>
  <c r="G107" i="7"/>
  <c r="G89" i="7" s="1"/>
  <c r="O3" i="7" s="1"/>
  <c r="D23" i="18" s="1"/>
  <c r="P56" i="16"/>
  <c r="D55" i="3" s="1"/>
  <c r="D57" i="16"/>
  <c r="H84" i="7"/>
  <c r="H67" i="7" s="1"/>
  <c r="H60" i="7"/>
  <c r="H42" i="7" s="1"/>
  <c r="H107" i="7"/>
  <c r="H89" i="7" s="1"/>
  <c r="N61" i="16" l="1"/>
  <c r="K61" i="16"/>
  <c r="G61" i="16"/>
  <c r="E21" i="18"/>
  <c r="P57" i="16"/>
  <c r="D56" i="3" s="1"/>
  <c r="D59" i="16"/>
  <c r="E23" i="18"/>
  <c r="E22" i="18"/>
  <c r="P22" i="13"/>
  <c r="E19" i="13"/>
  <c r="P19" i="13" s="1"/>
  <c r="G18" i="3" s="1"/>
  <c r="P22" i="19"/>
  <c r="E19" i="19"/>
  <c r="P19" i="19" s="1"/>
  <c r="K18" i="3" s="1"/>
  <c r="P22" i="16"/>
  <c r="D19" i="16"/>
  <c r="P19" i="16" s="1"/>
  <c r="D18" i="3" s="1"/>
  <c r="P22" i="12"/>
  <c r="E19" i="12"/>
  <c r="P19" i="12" s="1"/>
  <c r="H18" i="3" s="1"/>
  <c r="P22" i="15"/>
  <c r="E19" i="15"/>
  <c r="P19" i="15" s="1"/>
  <c r="E18" i="3" s="1"/>
  <c r="P22" i="21"/>
  <c r="E19" i="21"/>
  <c r="P19" i="21" s="1"/>
  <c r="I18" i="3" s="1"/>
  <c r="P22" i="14"/>
  <c r="E19" i="14"/>
  <c r="P19" i="14" s="1"/>
  <c r="F18" i="3" s="1"/>
  <c r="P22" i="20"/>
  <c r="E19" i="20"/>
  <c r="P19" i="20" s="1"/>
  <c r="J18" i="3" s="1"/>
  <c r="D60" i="16" l="1"/>
  <c r="J21" i="3"/>
  <c r="O58" i="20"/>
  <c r="I58" i="20"/>
  <c r="F21" i="3"/>
  <c r="O58" i="14"/>
  <c r="I58" i="14"/>
  <c r="I21" i="3"/>
  <c r="O58" i="21"/>
  <c r="I58" i="21"/>
  <c r="E21" i="3"/>
  <c r="I58" i="15"/>
  <c r="O58" i="15"/>
  <c r="H21" i="3"/>
  <c r="I58" i="12"/>
  <c r="O58" i="12"/>
  <c r="D21" i="3"/>
  <c r="I58" i="16"/>
  <c r="O58" i="16"/>
  <c r="O59" i="16" s="1"/>
  <c r="K21" i="3"/>
  <c r="I58" i="19"/>
  <c r="O58" i="19"/>
  <c r="G21" i="3"/>
  <c r="O58" i="13"/>
  <c r="I58" i="13"/>
  <c r="P58" i="21" l="1"/>
  <c r="I57" i="3" s="1"/>
  <c r="P58" i="20"/>
  <c r="J57" i="3" s="1"/>
  <c r="P58" i="16"/>
  <c r="D57" i="3" s="1"/>
  <c r="I59" i="16"/>
  <c r="P58" i="15"/>
  <c r="E57" i="3" s="1"/>
  <c r="D66" i="16"/>
  <c r="E66" i="16" s="1"/>
  <c r="F66" i="16" s="1"/>
  <c r="G66" i="16" s="1"/>
  <c r="H66" i="16" s="1"/>
  <c r="D63" i="16"/>
  <c r="O60" i="16"/>
  <c r="O63" i="16" s="1"/>
  <c r="P58" i="14"/>
  <c r="F57" i="3" s="1"/>
  <c r="P58" i="13"/>
  <c r="G57" i="3" s="1"/>
  <c r="P58" i="19"/>
  <c r="K57" i="3" s="1"/>
  <c r="P58" i="12"/>
  <c r="H57" i="3" s="1"/>
  <c r="D61" i="16"/>
  <c r="O61" i="16" l="1"/>
  <c r="D65" i="16"/>
  <c r="E64" i="16" s="1"/>
  <c r="E65" i="16" s="1"/>
  <c r="F64" i="16" s="1"/>
  <c r="F65" i="16" s="1"/>
  <c r="G64" i="16" s="1"/>
  <c r="G65" i="16" s="1"/>
  <c r="H64" i="16" s="1"/>
  <c r="H65" i="16" s="1"/>
  <c r="I64" i="16" s="1"/>
  <c r="I60" i="16"/>
  <c r="I66" i="16" s="1"/>
  <c r="J66" i="16" s="1"/>
  <c r="K66" i="16" s="1"/>
  <c r="L66" i="16" s="1"/>
  <c r="M66" i="16" s="1"/>
  <c r="N66" i="16" s="1"/>
  <c r="O66" i="16" s="1"/>
  <c r="P59" i="16"/>
  <c r="D58" i="3" s="1"/>
  <c r="I63" i="16" l="1"/>
  <c r="P60" i="16"/>
  <c r="D59" i="3" s="1"/>
  <c r="P66" i="16"/>
  <c r="I61" i="16"/>
  <c r="P61" i="16" s="1"/>
  <c r="D60" i="3" s="1"/>
  <c r="D64" i="3" l="1"/>
  <c r="I67" i="16"/>
  <c r="O67" i="16" s="1"/>
  <c r="P67" i="16" s="1"/>
  <c r="D65" i="3" s="1"/>
  <c r="I65" i="16"/>
  <c r="J64" i="16" s="1"/>
  <c r="J65" i="16" s="1"/>
  <c r="K64" i="16" s="1"/>
  <c r="K65" i="16" s="1"/>
  <c r="L64" i="16" s="1"/>
  <c r="L65" i="16" s="1"/>
  <c r="M64" i="16" s="1"/>
  <c r="M65" i="16" s="1"/>
  <c r="N64" i="16" s="1"/>
  <c r="N65" i="16" s="1"/>
  <c r="O64" i="16" s="1"/>
  <c r="O65" i="16" s="1"/>
  <c r="P65" i="16" s="1"/>
  <c r="P63" i="16"/>
  <c r="D62" i="3" s="1"/>
  <c r="D64" i="15" l="1"/>
  <c r="D63" i="3"/>
  <c r="K62" i="15" l="1"/>
  <c r="M62" i="15"/>
  <c r="N62" i="15"/>
  <c r="E62" i="15"/>
  <c r="I62" i="15"/>
  <c r="F62" i="15"/>
  <c r="O62" i="15"/>
  <c r="H62" i="15"/>
  <c r="J62" i="15"/>
  <c r="L62" i="15"/>
  <c r="G62" i="15"/>
  <c r="D62" i="15"/>
  <c r="D53" i="15"/>
  <c r="D51" i="15" s="1"/>
  <c r="D56" i="15" s="1"/>
  <c r="P62" i="15" l="1"/>
  <c r="D6" i="14" s="1"/>
  <c r="O53" i="15"/>
  <c r="O51" i="15" s="1"/>
  <c r="O56" i="15" s="1"/>
  <c r="O57" i="15" s="1"/>
  <c r="M53" i="15"/>
  <c r="M51" i="15" s="1"/>
  <c r="M56" i="15" s="1"/>
  <c r="M57" i="15" s="1"/>
  <c r="M59" i="15" s="1"/>
  <c r="G53" i="15"/>
  <c r="G51" i="15" s="1"/>
  <c r="G56" i="15" s="1"/>
  <c r="G57" i="15" s="1"/>
  <c r="G59" i="15" s="1"/>
  <c r="E53" i="15"/>
  <c r="E51" i="15" s="1"/>
  <c r="E56" i="15" s="1"/>
  <c r="E57" i="15" s="1"/>
  <c r="E59" i="15" s="1"/>
  <c r="O59" i="15"/>
  <c r="K53" i="15"/>
  <c r="K51" i="15" s="1"/>
  <c r="K56" i="15" s="1"/>
  <c r="K57" i="15" s="1"/>
  <c r="F53" i="15"/>
  <c r="L53" i="15"/>
  <c r="L51" i="15" s="1"/>
  <c r="L56" i="15" s="1"/>
  <c r="L57" i="15" s="1"/>
  <c r="H53" i="15"/>
  <c r="H51" i="15" s="1"/>
  <c r="H56" i="15" s="1"/>
  <c r="H57" i="15" s="1"/>
  <c r="J53" i="15"/>
  <c r="J51" i="15" s="1"/>
  <c r="J56" i="15" s="1"/>
  <c r="J57" i="15" s="1"/>
  <c r="N53" i="15"/>
  <c r="N51" i="15" s="1"/>
  <c r="N56" i="15" s="1"/>
  <c r="N57" i="15" s="1"/>
  <c r="I53" i="15"/>
  <c r="I51" i="15" s="1"/>
  <c r="I56" i="15" s="1"/>
  <c r="I57" i="15" s="1"/>
  <c r="D57" i="15"/>
  <c r="E61" i="3" l="1"/>
  <c r="D59" i="15"/>
  <c r="K59" i="15"/>
  <c r="M60" i="15"/>
  <c r="M63" i="15" s="1"/>
  <c r="L59" i="15"/>
  <c r="O60" i="15"/>
  <c r="O63" i="15" s="1"/>
  <c r="F62" i="14"/>
  <c r="K62" i="14"/>
  <c r="I62" i="14"/>
  <c r="L62" i="14"/>
  <c r="O62" i="14"/>
  <c r="E62" i="14"/>
  <c r="M62" i="14"/>
  <c r="D53" i="14"/>
  <c r="J62" i="14"/>
  <c r="H62" i="14"/>
  <c r="N62" i="14"/>
  <c r="D62" i="14"/>
  <c r="G62" i="14"/>
  <c r="F51" i="15"/>
  <c r="P53" i="15"/>
  <c r="E52" i="3" s="1"/>
  <c r="H59" i="15"/>
  <c r="J59" i="15"/>
  <c r="G60" i="15"/>
  <c r="G63" i="15" s="1"/>
  <c r="N59" i="15"/>
  <c r="I59" i="15"/>
  <c r="E60" i="15"/>
  <c r="E63" i="15" s="1"/>
  <c r="E61" i="15" l="1"/>
  <c r="N53" i="14"/>
  <c r="N51" i="14" s="1"/>
  <c r="N56" i="14" s="1"/>
  <c r="N57" i="14" s="1"/>
  <c r="N59" i="14" s="1"/>
  <c r="I53" i="14"/>
  <c r="I51" i="14" s="1"/>
  <c r="I56" i="14" s="1"/>
  <c r="I57" i="14" s="1"/>
  <c r="I59" i="14" s="1"/>
  <c r="F53" i="14"/>
  <c r="F51" i="14" s="1"/>
  <c r="F56" i="14" s="1"/>
  <c r="F57" i="14" s="1"/>
  <c r="F59" i="14" s="1"/>
  <c r="O53" i="14"/>
  <c r="O51" i="14" s="1"/>
  <c r="O56" i="14" s="1"/>
  <c r="O57" i="14" s="1"/>
  <c r="O59" i="14" s="1"/>
  <c r="K53" i="14"/>
  <c r="K51" i="14" s="1"/>
  <c r="K56" i="14" s="1"/>
  <c r="K57" i="14" s="1"/>
  <c r="K59" i="14" s="1"/>
  <c r="G61" i="15"/>
  <c r="O61" i="15"/>
  <c r="J60" i="15"/>
  <c r="J63" i="15" s="1"/>
  <c r="D60" i="15"/>
  <c r="D61" i="15" s="1"/>
  <c r="P62" i="14"/>
  <c r="N60" i="15"/>
  <c r="N63" i="15" s="1"/>
  <c r="G53" i="14"/>
  <c r="G51" i="14" s="1"/>
  <c r="G56" i="14" s="1"/>
  <c r="G57" i="14" s="1"/>
  <c r="M53" i="14"/>
  <c r="M51" i="14" s="1"/>
  <c r="M56" i="14" s="1"/>
  <c r="M57" i="14" s="1"/>
  <c r="M61" i="15"/>
  <c r="K60" i="15"/>
  <c r="K63" i="15" s="1"/>
  <c r="F56" i="15"/>
  <c r="P51" i="15"/>
  <c r="E50" i="3" s="1"/>
  <c r="D51" i="14"/>
  <c r="H60" i="15"/>
  <c r="H63" i="15" s="1"/>
  <c r="I60" i="15"/>
  <c r="I63" i="15" s="1"/>
  <c r="L60" i="15"/>
  <c r="L63" i="15" s="1"/>
  <c r="J53" i="14"/>
  <c r="J51" i="14" s="1"/>
  <c r="J56" i="14" s="1"/>
  <c r="J57" i="14" s="1"/>
  <c r="H53" i="14"/>
  <c r="H51" i="14" s="1"/>
  <c r="H56" i="14" s="1"/>
  <c r="H57" i="14" s="1"/>
  <c r="E53" i="14"/>
  <c r="E51" i="14" s="1"/>
  <c r="E56" i="14" s="1"/>
  <c r="E57" i="14" s="1"/>
  <c r="L53" i="14"/>
  <c r="L51" i="14" s="1"/>
  <c r="L56" i="14" s="1"/>
  <c r="L57" i="14" s="1"/>
  <c r="J61" i="15" l="1"/>
  <c r="L61" i="15"/>
  <c r="I61" i="15"/>
  <c r="L59" i="14"/>
  <c r="F57" i="15"/>
  <c r="P56" i="15"/>
  <c r="E55" i="3" s="1"/>
  <c r="I60" i="14"/>
  <c r="I63" i="14" s="1"/>
  <c r="O60" i="14"/>
  <c r="O63" i="14" s="1"/>
  <c r="P51" i="14"/>
  <c r="F50" i="3" s="1"/>
  <c r="D56" i="14"/>
  <c r="N60" i="14"/>
  <c r="N63" i="14" s="1"/>
  <c r="N61" i="15"/>
  <c r="M59" i="14"/>
  <c r="D66" i="15"/>
  <c r="E66" i="15" s="1"/>
  <c r="D63" i="15"/>
  <c r="K60" i="14"/>
  <c r="K63" i="14" s="1"/>
  <c r="P53" i="14"/>
  <c r="F52" i="3" s="1"/>
  <c r="H61" i="15"/>
  <c r="F60" i="14"/>
  <c r="F63" i="14" s="1"/>
  <c r="G59" i="14"/>
  <c r="J59" i="14"/>
  <c r="H59" i="14"/>
  <c r="F61" i="3"/>
  <c r="D6" i="13"/>
  <c r="E59" i="14"/>
  <c r="K61" i="15"/>
  <c r="F61" i="14" l="1"/>
  <c r="N61" i="14"/>
  <c r="K61" i="14"/>
  <c r="O61" i="14"/>
  <c r="I61" i="14"/>
  <c r="H60" i="14"/>
  <c r="H63" i="14" s="1"/>
  <c r="J60" i="14"/>
  <c r="J63" i="14" s="1"/>
  <c r="M60" i="14"/>
  <c r="M63" i="14" s="1"/>
  <c r="L60" i="14"/>
  <c r="L63" i="14" s="1"/>
  <c r="D57" i="14"/>
  <c r="P56" i="14"/>
  <c r="F55" i="3" s="1"/>
  <c r="D65" i="15"/>
  <c r="E64" i="15" s="1"/>
  <c r="E65" i="15" s="1"/>
  <c r="F64" i="15" s="1"/>
  <c r="F59" i="15"/>
  <c r="P57" i="15"/>
  <c r="E56" i="3" s="1"/>
  <c r="L62" i="13"/>
  <c r="M62" i="13"/>
  <c r="J62" i="13"/>
  <c r="O62" i="13"/>
  <c r="E62" i="13"/>
  <c r="H62" i="13"/>
  <c r="D53" i="13"/>
  <c r="N62" i="13"/>
  <c r="I62" i="13"/>
  <c r="G62" i="13"/>
  <c r="D62" i="13"/>
  <c r="K62" i="13"/>
  <c r="F62" i="13"/>
  <c r="E60" i="14"/>
  <c r="E63" i="14" s="1"/>
  <c r="G60" i="14"/>
  <c r="G63" i="14" s="1"/>
  <c r="L61" i="14" l="1"/>
  <c r="E61" i="14"/>
  <c r="P62" i="13"/>
  <c r="G61" i="3" s="1"/>
  <c r="H61" i="14"/>
  <c r="F60" i="15"/>
  <c r="F61" i="15" s="1"/>
  <c r="P61" i="15" s="1"/>
  <c r="E60" i="3" s="1"/>
  <c r="P59" i="15"/>
  <c r="E58" i="3" s="1"/>
  <c r="D59" i="14"/>
  <c r="P57" i="14"/>
  <c r="F56" i="3" s="1"/>
  <c r="K53" i="13"/>
  <c r="K51" i="13" s="1"/>
  <c r="K56" i="13" s="1"/>
  <c r="K57" i="13" s="1"/>
  <c r="M53" i="13"/>
  <c r="M51" i="13" s="1"/>
  <c r="M56" i="13" s="1"/>
  <c r="M57" i="13" s="1"/>
  <c r="L53" i="13"/>
  <c r="L51" i="13" s="1"/>
  <c r="L56" i="13" s="1"/>
  <c r="L57" i="13" s="1"/>
  <c r="D51" i="13"/>
  <c r="J61" i="14"/>
  <c r="D6" i="12"/>
  <c r="E53" i="13"/>
  <c r="E51" i="13" s="1"/>
  <c r="E56" i="13" s="1"/>
  <c r="E57" i="13" s="1"/>
  <c r="I53" i="13"/>
  <c r="I51" i="13" s="1"/>
  <c r="I56" i="13" s="1"/>
  <c r="I57" i="13" s="1"/>
  <c r="J53" i="13"/>
  <c r="J51" i="13" s="1"/>
  <c r="J56" i="13" s="1"/>
  <c r="J57" i="13" s="1"/>
  <c r="O53" i="13"/>
  <c r="O51" i="13" s="1"/>
  <c r="O56" i="13" s="1"/>
  <c r="O57" i="13" s="1"/>
  <c r="H53" i="13"/>
  <c r="H51" i="13" s="1"/>
  <c r="H56" i="13" s="1"/>
  <c r="H57" i="13" s="1"/>
  <c r="M61" i="14"/>
  <c r="G61" i="14"/>
  <c r="G53" i="13"/>
  <c r="G51" i="13" s="1"/>
  <c r="G56" i="13" s="1"/>
  <c r="G57" i="13" s="1"/>
  <c r="F53" i="13"/>
  <c r="F51" i="13" s="1"/>
  <c r="F56" i="13" s="1"/>
  <c r="F57" i="13" s="1"/>
  <c r="N53" i="13"/>
  <c r="N51" i="13" s="1"/>
  <c r="N56" i="13" s="1"/>
  <c r="N57" i="13" s="1"/>
  <c r="I59" i="13" l="1"/>
  <c r="L59" i="13"/>
  <c r="P60" i="15"/>
  <c r="E59" i="3" s="1"/>
  <c r="F66" i="15"/>
  <c r="G66" i="15" s="1"/>
  <c r="H66" i="15" s="1"/>
  <c r="I66" i="15" s="1"/>
  <c r="J66" i="15" s="1"/>
  <c r="K66" i="15" s="1"/>
  <c r="L66" i="15" s="1"/>
  <c r="M66" i="15" s="1"/>
  <c r="N66" i="15" s="1"/>
  <c r="O66" i="15" s="1"/>
  <c r="F63" i="15"/>
  <c r="F59" i="13"/>
  <c r="P51" i="13"/>
  <c r="G50" i="3" s="1"/>
  <c r="D56" i="13"/>
  <c r="G59" i="13"/>
  <c r="J59" i="13"/>
  <c r="N59" i="13"/>
  <c r="K59" i="13"/>
  <c r="P53" i="13"/>
  <c r="G52" i="3" s="1"/>
  <c r="O59" i="13"/>
  <c r="D60" i="14"/>
  <c r="D61" i="14" s="1"/>
  <c r="P61" i="14" s="1"/>
  <c r="F60" i="3" s="1"/>
  <c r="P59" i="14"/>
  <c r="F58" i="3" s="1"/>
  <c r="H59" i="13"/>
  <c r="K62" i="12"/>
  <c r="H62" i="12"/>
  <c r="N62" i="12"/>
  <c r="O62" i="12"/>
  <c r="L62" i="12"/>
  <c r="G62" i="12"/>
  <c r="E62" i="12"/>
  <c r="M62" i="12"/>
  <c r="F62" i="12"/>
  <c r="J62" i="12"/>
  <c r="D53" i="12"/>
  <c r="D62" i="12"/>
  <c r="E53" i="12" s="1"/>
  <c r="E51" i="12" s="1"/>
  <c r="E56" i="12" s="1"/>
  <c r="E57" i="12" s="1"/>
  <c r="I62" i="12"/>
  <c r="E59" i="13"/>
  <c r="M59" i="13"/>
  <c r="G53" i="12" l="1"/>
  <c r="G51" i="12" s="1"/>
  <c r="G56" i="12" s="1"/>
  <c r="G57" i="12" s="1"/>
  <c r="G59" i="12" s="1"/>
  <c r="H53" i="12"/>
  <c r="H51" i="12" s="1"/>
  <c r="H56" i="12" s="1"/>
  <c r="H57" i="12" s="1"/>
  <c r="H59" i="12" s="1"/>
  <c r="O53" i="12"/>
  <c r="O51" i="12" s="1"/>
  <c r="O56" i="12" s="1"/>
  <c r="O57" i="12" s="1"/>
  <c r="O59" i="12" s="1"/>
  <c r="P66" i="15"/>
  <c r="F65" i="15"/>
  <c r="G64" i="15" s="1"/>
  <c r="G65" i="15" s="1"/>
  <c r="H64" i="15" s="1"/>
  <c r="H65" i="15" s="1"/>
  <c r="I64" i="15" s="1"/>
  <c r="I65" i="15" s="1"/>
  <c r="J64" i="15" s="1"/>
  <c r="J65" i="15" s="1"/>
  <c r="K64" i="15" s="1"/>
  <c r="K65" i="15" s="1"/>
  <c r="L64" i="15" s="1"/>
  <c r="L65" i="15" s="1"/>
  <c r="M64" i="15" s="1"/>
  <c r="M65" i="15" s="1"/>
  <c r="N64" i="15" s="1"/>
  <c r="N65" i="15" s="1"/>
  <c r="O64" i="15" s="1"/>
  <c r="O65" i="15" s="1"/>
  <c r="P65" i="15" s="1"/>
  <c r="P63" i="15"/>
  <c r="E62" i="3" s="1"/>
  <c r="N60" i="13"/>
  <c r="N63" i="13" s="1"/>
  <c r="I60" i="13"/>
  <c r="I63" i="13" s="1"/>
  <c r="K53" i="12"/>
  <c r="K51" i="12" s="1"/>
  <c r="K56" i="12" s="1"/>
  <c r="K57" i="12" s="1"/>
  <c r="L53" i="12"/>
  <c r="L51" i="12" s="1"/>
  <c r="L56" i="12" s="1"/>
  <c r="L57" i="12" s="1"/>
  <c r="P62" i="12"/>
  <c r="I53" i="12"/>
  <c r="I51" i="12" s="1"/>
  <c r="I56" i="12" s="1"/>
  <c r="I57" i="12" s="1"/>
  <c r="E59" i="12"/>
  <c r="D51" i="12"/>
  <c r="P60" i="14"/>
  <c r="F59" i="3" s="1"/>
  <c r="D66" i="14"/>
  <c r="E66" i="14" s="1"/>
  <c r="F66" i="14" s="1"/>
  <c r="G66" i="14" s="1"/>
  <c r="H66" i="14" s="1"/>
  <c r="I66" i="14" s="1"/>
  <c r="J66" i="14" s="1"/>
  <c r="K66" i="14" s="1"/>
  <c r="L66" i="14" s="1"/>
  <c r="M66" i="14" s="1"/>
  <c r="N66" i="14" s="1"/>
  <c r="O66" i="14" s="1"/>
  <c r="D63" i="14"/>
  <c r="H60" i="13"/>
  <c r="H63" i="13" s="1"/>
  <c r="K60" i="13"/>
  <c r="K63" i="13" s="1"/>
  <c r="P56" i="13"/>
  <c r="G55" i="3" s="1"/>
  <c r="D57" i="13"/>
  <c r="L60" i="13"/>
  <c r="L63" i="13" s="1"/>
  <c r="J53" i="12"/>
  <c r="J51" i="12" s="1"/>
  <c r="J56" i="12" s="1"/>
  <c r="J57" i="12" s="1"/>
  <c r="J60" i="13"/>
  <c r="J63" i="13" s="1"/>
  <c r="M60" i="13"/>
  <c r="M63" i="13" s="1"/>
  <c r="F60" i="13"/>
  <c r="F63" i="13" s="1"/>
  <c r="G60" i="13"/>
  <c r="G63" i="13" s="1"/>
  <c r="E60" i="13"/>
  <c r="E63" i="13" s="1"/>
  <c r="O60" i="13"/>
  <c r="O63" i="13" s="1"/>
  <c r="M53" i="12"/>
  <c r="M51" i="12" s="1"/>
  <c r="M56" i="12" s="1"/>
  <c r="M57" i="12" s="1"/>
  <c r="N53" i="12"/>
  <c r="N51" i="12" s="1"/>
  <c r="N56" i="12" s="1"/>
  <c r="N57" i="12" s="1"/>
  <c r="F53" i="12"/>
  <c r="F51" i="12" s="1"/>
  <c r="F56" i="12" s="1"/>
  <c r="F57" i="12" s="1"/>
  <c r="N61" i="13" l="1"/>
  <c r="M61" i="13"/>
  <c r="G61" i="13"/>
  <c r="E61" i="13"/>
  <c r="O61" i="13"/>
  <c r="D64" i="14"/>
  <c r="D65" i="14" s="1"/>
  <c r="E64" i="14" s="1"/>
  <c r="E65" i="14" s="1"/>
  <c r="F64" i="14" s="1"/>
  <c r="F65" i="14" s="1"/>
  <c r="G64" i="14" s="1"/>
  <c r="G65" i="14" s="1"/>
  <c r="H64" i="14" s="1"/>
  <c r="H65" i="14" s="1"/>
  <c r="I64" i="14" s="1"/>
  <c r="I65" i="14" s="1"/>
  <c r="J64" i="14" s="1"/>
  <c r="J65" i="14" s="1"/>
  <c r="K64" i="14" s="1"/>
  <c r="K65" i="14" s="1"/>
  <c r="L64" i="14" s="1"/>
  <c r="L65" i="14" s="1"/>
  <c r="M64" i="14" s="1"/>
  <c r="M65" i="14" s="1"/>
  <c r="N64" i="14" s="1"/>
  <c r="N65" i="14" s="1"/>
  <c r="O64" i="14" s="1"/>
  <c r="O65" i="14" s="1"/>
  <c r="P65" i="14" s="1"/>
  <c r="E63" i="3"/>
  <c r="F59" i="12"/>
  <c r="P63" i="14"/>
  <c r="F62" i="3" s="1"/>
  <c r="E60" i="12"/>
  <c r="E63" i="12" s="1"/>
  <c r="H60" i="12"/>
  <c r="H63" i="12" s="1"/>
  <c r="L61" i="13"/>
  <c r="L59" i="12"/>
  <c r="P57" i="13"/>
  <c r="G56" i="3" s="1"/>
  <c r="D59" i="13"/>
  <c r="H61" i="3"/>
  <c r="D6" i="21"/>
  <c r="J59" i="12"/>
  <c r="J61" i="13"/>
  <c r="H61" i="13"/>
  <c r="P53" i="12"/>
  <c r="H52" i="3" s="1"/>
  <c r="I61" i="13"/>
  <c r="M59" i="12"/>
  <c r="D56" i="12"/>
  <c r="P51" i="12"/>
  <c r="H50" i="3" s="1"/>
  <c r="O60" i="12"/>
  <c r="O63" i="12" s="1"/>
  <c r="G60" i="12"/>
  <c r="G63" i="12" s="1"/>
  <c r="K59" i="12"/>
  <c r="E64" i="3"/>
  <c r="I67" i="15"/>
  <c r="O67" i="15" s="1"/>
  <c r="P67" i="15" s="1"/>
  <c r="E65" i="3" s="1"/>
  <c r="K61" i="13"/>
  <c r="N59" i="12"/>
  <c r="P66" i="14"/>
  <c r="I59" i="12"/>
  <c r="F61" i="13"/>
  <c r="G61" i="12" l="1"/>
  <c r="H61" i="12"/>
  <c r="O61" i="12"/>
  <c r="L60" i="12"/>
  <c r="L63" i="12" s="1"/>
  <c r="N60" i="12"/>
  <c r="N63" i="12" s="1"/>
  <c r="M60" i="12"/>
  <c r="M63" i="12" s="1"/>
  <c r="D60" i="13"/>
  <c r="P59" i="13"/>
  <c r="G58" i="3" s="1"/>
  <c r="F64" i="3"/>
  <c r="I67" i="14"/>
  <c r="O67" i="14" s="1"/>
  <c r="P67" i="14" s="1"/>
  <c r="F65" i="3" s="1"/>
  <c r="F60" i="12"/>
  <c r="F63" i="12" s="1"/>
  <c r="J60" i="12"/>
  <c r="J63" i="12" s="1"/>
  <c r="I60" i="12"/>
  <c r="I63" i="12" s="1"/>
  <c r="M62" i="21"/>
  <c r="K62" i="21"/>
  <c r="H62" i="21"/>
  <c r="I62" i="21"/>
  <c r="N62" i="21"/>
  <c r="E62" i="21"/>
  <c r="D53" i="21"/>
  <c r="O62" i="21"/>
  <c r="J62" i="21"/>
  <c r="F62" i="21"/>
  <c r="D62" i="21"/>
  <c r="F53" i="21" s="1"/>
  <c r="F51" i="21" s="1"/>
  <c r="F56" i="21" s="1"/>
  <c r="F57" i="21" s="1"/>
  <c r="G62" i="21"/>
  <c r="L62" i="21"/>
  <c r="D64" i="13"/>
  <c r="F63" i="3"/>
  <c r="K60" i="12"/>
  <c r="K63" i="12" s="1"/>
  <c r="D57" i="12"/>
  <c r="P56" i="12"/>
  <c r="H55" i="3" s="1"/>
  <c r="E61" i="12"/>
  <c r="E53" i="21" l="1"/>
  <c r="E51" i="21" s="1"/>
  <c r="E56" i="21" s="1"/>
  <c r="E57" i="21" s="1"/>
  <c r="E59" i="21" s="1"/>
  <c r="I53" i="21"/>
  <c r="I51" i="21" s="1"/>
  <c r="I56" i="21" s="1"/>
  <c r="I57" i="21" s="1"/>
  <c r="I61" i="12"/>
  <c r="N53" i="21"/>
  <c r="N51" i="21" s="1"/>
  <c r="N56" i="21" s="1"/>
  <c r="N57" i="21" s="1"/>
  <c r="N59" i="21" s="1"/>
  <c r="L61" i="12"/>
  <c r="J61" i="12"/>
  <c r="I59" i="21"/>
  <c r="P60" i="13"/>
  <c r="G59" i="3" s="1"/>
  <c r="D66" i="13"/>
  <c r="E66" i="13" s="1"/>
  <c r="F66" i="13" s="1"/>
  <c r="G66" i="13" s="1"/>
  <c r="H66" i="13" s="1"/>
  <c r="I66" i="13" s="1"/>
  <c r="J66" i="13" s="1"/>
  <c r="K66" i="13" s="1"/>
  <c r="L66" i="13" s="1"/>
  <c r="M66" i="13" s="1"/>
  <c r="N66" i="13" s="1"/>
  <c r="O66" i="13" s="1"/>
  <c r="D63" i="13"/>
  <c r="L53" i="21"/>
  <c r="L51" i="21" s="1"/>
  <c r="L56" i="21" s="1"/>
  <c r="L57" i="21" s="1"/>
  <c r="H53" i="21"/>
  <c r="H51" i="21" s="1"/>
  <c r="H56" i="21" s="1"/>
  <c r="H57" i="21" s="1"/>
  <c r="D59" i="12"/>
  <c r="P57" i="12"/>
  <c r="H56" i="3" s="1"/>
  <c r="F59" i="21"/>
  <c r="K53" i="21"/>
  <c r="K51" i="21" s="1"/>
  <c r="K56" i="21" s="1"/>
  <c r="K57" i="21" s="1"/>
  <c r="M53" i="21"/>
  <c r="M51" i="21" s="1"/>
  <c r="M56" i="21" s="1"/>
  <c r="M57" i="21" s="1"/>
  <c r="N61" i="12"/>
  <c r="O53" i="21"/>
  <c r="O51" i="21" s="1"/>
  <c r="O56" i="21" s="1"/>
  <c r="O57" i="21" s="1"/>
  <c r="P62" i="21"/>
  <c r="F61" i="12"/>
  <c r="D51" i="21"/>
  <c r="J53" i="21"/>
  <c r="J51" i="21" s="1"/>
  <c r="J56" i="21" s="1"/>
  <c r="J57" i="21" s="1"/>
  <c r="G53" i="21"/>
  <c r="G51" i="21" s="1"/>
  <c r="G56" i="21" s="1"/>
  <c r="G57" i="21" s="1"/>
  <c r="M61" i="12"/>
  <c r="K61" i="12"/>
  <c r="D61" i="13"/>
  <c r="P61" i="13" s="1"/>
  <c r="G60" i="3" s="1"/>
  <c r="F60" i="21" l="1"/>
  <c r="F63" i="21" s="1"/>
  <c r="K59" i="21"/>
  <c r="M59" i="21"/>
  <c r="I60" i="21"/>
  <c r="I63" i="21" s="1"/>
  <c r="D56" i="21"/>
  <c r="P51" i="21"/>
  <c r="I50" i="3" s="1"/>
  <c r="P59" i="12"/>
  <c r="H58" i="3" s="1"/>
  <c r="D60" i="12"/>
  <c r="D61" i="12" s="1"/>
  <c r="P61" i="12" s="1"/>
  <c r="H60" i="3" s="1"/>
  <c r="P53" i="21"/>
  <c r="I52" i="3" s="1"/>
  <c r="I61" i="3"/>
  <c r="D6" i="20"/>
  <c r="N60" i="21"/>
  <c r="N63" i="21" s="1"/>
  <c r="L59" i="21"/>
  <c r="H59" i="21"/>
  <c r="P66" i="13"/>
  <c r="J59" i="21"/>
  <c r="E60" i="21"/>
  <c r="E63" i="21" s="1"/>
  <c r="P63" i="13"/>
  <c r="G62" i="3" s="1"/>
  <c r="D65" i="13"/>
  <c r="E64" i="13" s="1"/>
  <c r="E65" i="13" s="1"/>
  <c r="F64" i="13" s="1"/>
  <c r="F65" i="13" s="1"/>
  <c r="G64" i="13" s="1"/>
  <c r="G65" i="13" s="1"/>
  <c r="H64" i="13" s="1"/>
  <c r="H65" i="13" s="1"/>
  <c r="I64" i="13" s="1"/>
  <c r="I65" i="13" s="1"/>
  <c r="J64" i="13" s="1"/>
  <c r="J65" i="13" s="1"/>
  <c r="K64" i="13" s="1"/>
  <c r="K65" i="13" s="1"/>
  <c r="L64" i="13" s="1"/>
  <c r="L65" i="13" s="1"/>
  <c r="M64" i="13" s="1"/>
  <c r="M65" i="13" s="1"/>
  <c r="N64" i="13" s="1"/>
  <c r="N65" i="13" s="1"/>
  <c r="O64" i="13" s="1"/>
  <c r="O65" i="13" s="1"/>
  <c r="P65" i="13" s="1"/>
  <c r="G59" i="21"/>
  <c r="O59" i="21"/>
  <c r="I61" i="21" l="1"/>
  <c r="E61" i="21"/>
  <c r="I67" i="13"/>
  <c r="O67" i="13" s="1"/>
  <c r="P67" i="13" s="1"/>
  <c r="G65" i="3" s="1"/>
  <c r="G64" i="3"/>
  <c r="O60" i="21"/>
  <c r="O63" i="21" s="1"/>
  <c r="J60" i="21"/>
  <c r="J63" i="21" s="1"/>
  <c r="P56" i="21"/>
  <c r="I55" i="3" s="1"/>
  <c r="D57" i="21"/>
  <c r="N61" i="21"/>
  <c r="F61" i="21"/>
  <c r="G63" i="3"/>
  <c r="D64" i="12"/>
  <c r="L60" i="21"/>
  <c r="L63" i="21" s="1"/>
  <c r="K60" i="21"/>
  <c r="K63" i="21" s="1"/>
  <c r="H60" i="21"/>
  <c r="H63" i="21" s="1"/>
  <c r="P60" i="12"/>
  <c r="H59" i="3" s="1"/>
  <c r="D66" i="12"/>
  <c r="E66" i="12" s="1"/>
  <c r="F66" i="12" s="1"/>
  <c r="G66" i="12" s="1"/>
  <c r="H66" i="12" s="1"/>
  <c r="I66" i="12" s="1"/>
  <c r="J66" i="12" s="1"/>
  <c r="K66" i="12" s="1"/>
  <c r="L66" i="12" s="1"/>
  <c r="M66" i="12" s="1"/>
  <c r="N66" i="12" s="1"/>
  <c r="O66" i="12" s="1"/>
  <c r="D63" i="12"/>
  <c r="M60" i="21"/>
  <c r="M63" i="21" s="1"/>
  <c r="G60" i="21"/>
  <c r="G63" i="21" s="1"/>
  <c r="F62" i="20"/>
  <c r="L62" i="20"/>
  <c r="G62" i="20"/>
  <c r="M62" i="20"/>
  <c r="N62" i="20"/>
  <c r="J62" i="20"/>
  <c r="K62" i="20"/>
  <c r="D62" i="20"/>
  <c r="H62" i="20"/>
  <c r="O62" i="20"/>
  <c r="D53" i="20"/>
  <c r="E62" i="20"/>
  <c r="I62" i="20"/>
  <c r="F53" i="20" l="1"/>
  <c r="F51" i="20" s="1"/>
  <c r="F56" i="20" s="1"/>
  <c r="F57" i="20" s="1"/>
  <c r="F59" i="20" s="1"/>
  <c r="O53" i="20"/>
  <c r="O51" i="20" s="1"/>
  <c r="O56" i="20" s="1"/>
  <c r="O57" i="20" s="1"/>
  <c r="O59" i="20" s="1"/>
  <c r="J61" i="21"/>
  <c r="G61" i="21"/>
  <c r="E53" i="20"/>
  <c r="E51" i="20" s="1"/>
  <c r="E56" i="20" s="1"/>
  <c r="E57" i="20" s="1"/>
  <c r="G53" i="20"/>
  <c r="G51" i="20" s="1"/>
  <c r="G56" i="20" s="1"/>
  <c r="G57" i="20" s="1"/>
  <c r="M53" i="20"/>
  <c r="M51" i="20" s="1"/>
  <c r="M56" i="20" s="1"/>
  <c r="M57" i="20" s="1"/>
  <c r="M61" i="21"/>
  <c r="P62" i="20"/>
  <c r="L53" i="20"/>
  <c r="L51" i="20" s="1"/>
  <c r="L56" i="20" s="1"/>
  <c r="L57" i="20" s="1"/>
  <c r="K53" i="20"/>
  <c r="K51" i="20" s="1"/>
  <c r="K56" i="20" s="1"/>
  <c r="K57" i="20" s="1"/>
  <c r="K61" i="21"/>
  <c r="O61" i="21"/>
  <c r="I53" i="20"/>
  <c r="I51" i="20" s="1"/>
  <c r="I56" i="20" s="1"/>
  <c r="I57" i="20" s="1"/>
  <c r="N53" i="20"/>
  <c r="N51" i="20" s="1"/>
  <c r="N56" i="20" s="1"/>
  <c r="N57" i="20" s="1"/>
  <c r="H61" i="21"/>
  <c r="P66" i="12"/>
  <c r="D51" i="20"/>
  <c r="D65" i="12"/>
  <c r="E64" i="12" s="1"/>
  <c r="E65" i="12" s="1"/>
  <c r="F64" i="12" s="1"/>
  <c r="F65" i="12" s="1"/>
  <c r="G64" i="12" s="1"/>
  <c r="G65" i="12" s="1"/>
  <c r="H64" i="12" s="1"/>
  <c r="H65" i="12" s="1"/>
  <c r="I64" i="12" s="1"/>
  <c r="I65" i="12" s="1"/>
  <c r="J64" i="12" s="1"/>
  <c r="J65" i="12" s="1"/>
  <c r="K64" i="12" s="1"/>
  <c r="K65" i="12" s="1"/>
  <c r="L64" i="12" s="1"/>
  <c r="L65" i="12" s="1"/>
  <c r="M64" i="12" s="1"/>
  <c r="M65" i="12" s="1"/>
  <c r="N64" i="12" s="1"/>
  <c r="N65" i="12" s="1"/>
  <c r="O64" i="12" s="1"/>
  <c r="O65" i="12" s="1"/>
  <c r="P65" i="12" s="1"/>
  <c r="P63" i="12"/>
  <c r="H62" i="3" s="1"/>
  <c r="P57" i="21"/>
  <c r="I56" i="3" s="1"/>
  <c r="D59" i="21"/>
  <c r="H53" i="20"/>
  <c r="H51" i="20" s="1"/>
  <c r="H56" i="20" s="1"/>
  <c r="H57" i="20" s="1"/>
  <c r="J53" i="20"/>
  <c r="J51" i="20" s="1"/>
  <c r="J56" i="20" s="1"/>
  <c r="J57" i="20" s="1"/>
  <c r="L61" i="21"/>
  <c r="H59" i="20" l="1"/>
  <c r="H64" i="3"/>
  <c r="I67" i="12"/>
  <c r="O67" i="12" s="1"/>
  <c r="P67" i="12" s="1"/>
  <c r="H65" i="3" s="1"/>
  <c r="O60" i="20"/>
  <c r="O63" i="20" s="1"/>
  <c r="D64" i="21"/>
  <c r="H63" i="3"/>
  <c r="F60" i="20"/>
  <c r="F63" i="20" s="1"/>
  <c r="N59" i="20"/>
  <c r="L59" i="20"/>
  <c r="E59" i="20"/>
  <c r="I59" i="20"/>
  <c r="P51" i="20"/>
  <c r="J50" i="3" s="1"/>
  <c r="D56" i="20"/>
  <c r="J59" i="20"/>
  <c r="J61" i="3"/>
  <c r="D6" i="19"/>
  <c r="K59" i="20"/>
  <c r="G59" i="20"/>
  <c r="D60" i="21"/>
  <c r="D61" i="21" s="1"/>
  <c r="P61" i="21" s="1"/>
  <c r="I60" i="3" s="1"/>
  <c r="P59" i="21"/>
  <c r="I58" i="3" s="1"/>
  <c r="M59" i="20"/>
  <c r="P53" i="20"/>
  <c r="J52" i="3" s="1"/>
  <c r="O61" i="20" l="1"/>
  <c r="K60" i="20"/>
  <c r="K63" i="20" s="1"/>
  <c r="I60" i="20"/>
  <c r="I63" i="20" s="1"/>
  <c r="H60" i="20"/>
  <c r="H63" i="20" s="1"/>
  <c r="N60" i="20"/>
  <c r="N63" i="20" s="1"/>
  <c r="F61" i="20"/>
  <c r="G60" i="20"/>
  <c r="G63" i="20" s="1"/>
  <c r="D66" i="21"/>
  <c r="E66" i="21" s="1"/>
  <c r="F66" i="21" s="1"/>
  <c r="G66" i="21" s="1"/>
  <c r="H66" i="21" s="1"/>
  <c r="I66" i="21" s="1"/>
  <c r="J66" i="21" s="1"/>
  <c r="K66" i="21" s="1"/>
  <c r="L66" i="21" s="1"/>
  <c r="M66" i="21" s="1"/>
  <c r="N66" i="21" s="1"/>
  <c r="O66" i="21" s="1"/>
  <c r="P60" i="21"/>
  <c r="I59" i="3" s="1"/>
  <c r="D63" i="21"/>
  <c r="J60" i="20"/>
  <c r="J63" i="20" s="1"/>
  <c r="L60" i="20"/>
  <c r="L63" i="20" s="1"/>
  <c r="D57" i="20"/>
  <c r="P56" i="20"/>
  <c r="J55" i="3" s="1"/>
  <c r="E60" i="20"/>
  <c r="E63" i="20" s="1"/>
  <c r="M60" i="20"/>
  <c r="M63" i="20" s="1"/>
  <c r="I62" i="19"/>
  <c r="F62" i="19"/>
  <c r="G62" i="19"/>
  <c r="K62" i="19"/>
  <c r="O62" i="19"/>
  <c r="D53" i="19"/>
  <c r="J62" i="19"/>
  <c r="E62" i="19"/>
  <c r="H53" i="19" s="1"/>
  <c r="H51" i="19" s="1"/>
  <c r="H56" i="19" s="1"/>
  <c r="H57" i="19" s="1"/>
  <c r="L62" i="19"/>
  <c r="H62" i="19"/>
  <c r="D62" i="19"/>
  <c r="N62" i="19"/>
  <c r="E53" i="19"/>
  <c r="E51" i="19" s="1"/>
  <c r="E56" i="19" s="1"/>
  <c r="E57" i="19" s="1"/>
  <c r="M62" i="19"/>
  <c r="M53" i="19" l="1"/>
  <c r="M51" i="19" s="1"/>
  <c r="M56" i="19" s="1"/>
  <c r="M57" i="19" s="1"/>
  <c r="H61" i="20"/>
  <c r="G61" i="20"/>
  <c r="J61" i="20"/>
  <c r="N61" i="20"/>
  <c r="H59" i="19"/>
  <c r="M59" i="19"/>
  <c r="E59" i="19"/>
  <c r="J53" i="19"/>
  <c r="J51" i="19" s="1"/>
  <c r="J56" i="19" s="1"/>
  <c r="J57" i="19" s="1"/>
  <c r="E61" i="20"/>
  <c r="F53" i="19"/>
  <c r="F51" i="19" s="1"/>
  <c r="F56" i="19" s="1"/>
  <c r="F57" i="19" s="1"/>
  <c r="M61" i="20"/>
  <c r="P63" i="21"/>
  <c r="I62" i="3" s="1"/>
  <c r="D65" i="21"/>
  <c r="E64" i="21" s="1"/>
  <c r="E65" i="21" s="1"/>
  <c r="F64" i="21" s="1"/>
  <c r="F65" i="21" s="1"/>
  <c r="G64" i="21" s="1"/>
  <c r="G65" i="21" s="1"/>
  <c r="H64" i="21" s="1"/>
  <c r="H65" i="21" s="1"/>
  <c r="I64" i="21" s="1"/>
  <c r="I65" i="21" s="1"/>
  <c r="J64" i="21" s="1"/>
  <c r="J65" i="21" s="1"/>
  <c r="K64" i="21" s="1"/>
  <c r="K65" i="21" s="1"/>
  <c r="L64" i="21" s="1"/>
  <c r="L65" i="21" s="1"/>
  <c r="M64" i="21" s="1"/>
  <c r="M65" i="21" s="1"/>
  <c r="N64" i="21" s="1"/>
  <c r="N65" i="21" s="1"/>
  <c r="O64" i="21" s="1"/>
  <c r="O65" i="21" s="1"/>
  <c r="P65" i="21" s="1"/>
  <c r="O53" i="19"/>
  <c r="O51" i="19" s="1"/>
  <c r="O56" i="19" s="1"/>
  <c r="O57" i="19" s="1"/>
  <c r="I53" i="19"/>
  <c r="I51" i="19" s="1"/>
  <c r="I56" i="19" s="1"/>
  <c r="I57" i="19" s="1"/>
  <c r="L61" i="20"/>
  <c r="K61" i="20"/>
  <c r="D51" i="19"/>
  <c r="P57" i="20"/>
  <c r="J56" i="3" s="1"/>
  <c r="D59" i="20"/>
  <c r="P66" i="21"/>
  <c r="G53" i="19"/>
  <c r="G51" i="19" s="1"/>
  <c r="G56" i="19" s="1"/>
  <c r="G57" i="19" s="1"/>
  <c r="L53" i="19"/>
  <c r="L51" i="19" s="1"/>
  <c r="L56" i="19" s="1"/>
  <c r="L57" i="19" s="1"/>
  <c r="N53" i="19"/>
  <c r="N51" i="19" s="1"/>
  <c r="N56" i="19" s="1"/>
  <c r="N57" i="19" s="1"/>
  <c r="P62" i="19"/>
  <c r="K61" i="3" s="1"/>
  <c r="K53" i="19"/>
  <c r="K51" i="19" s="1"/>
  <c r="K56" i="19" s="1"/>
  <c r="K57" i="19" s="1"/>
  <c r="I61" i="20"/>
  <c r="F59" i="19" l="1"/>
  <c r="H60" i="19"/>
  <c r="H63" i="19" s="1"/>
  <c r="G59" i="19"/>
  <c r="E60" i="19"/>
  <c r="E63" i="19" s="1"/>
  <c r="P59" i="20"/>
  <c r="J58" i="3" s="1"/>
  <c r="D60" i="20"/>
  <c r="D61" i="20" s="1"/>
  <c r="P61" i="20" s="1"/>
  <c r="J60" i="3" s="1"/>
  <c r="I59" i="19"/>
  <c r="M60" i="19"/>
  <c r="M63" i="19" s="1"/>
  <c r="N59" i="19"/>
  <c r="K59" i="19"/>
  <c r="I64" i="3"/>
  <c r="I67" i="21"/>
  <c r="O67" i="21" s="1"/>
  <c r="P67" i="21" s="1"/>
  <c r="I65" i="3" s="1"/>
  <c r="I63" i="3"/>
  <c r="D64" i="20"/>
  <c r="D56" i="19"/>
  <c r="P51" i="19"/>
  <c r="K50" i="3" s="1"/>
  <c r="J59" i="19"/>
  <c r="L59" i="19"/>
  <c r="O59" i="19"/>
  <c r="P53" i="19"/>
  <c r="K52" i="3" s="1"/>
  <c r="H61" i="19" l="1"/>
  <c r="L60" i="19"/>
  <c r="L63" i="19" s="1"/>
  <c r="G60" i="19"/>
  <c r="G63" i="19" s="1"/>
  <c r="P60" i="20"/>
  <c r="J59" i="3" s="1"/>
  <c r="D66" i="20"/>
  <c r="E66" i="20" s="1"/>
  <c r="F66" i="20" s="1"/>
  <c r="G66" i="20" s="1"/>
  <c r="H66" i="20" s="1"/>
  <c r="I66" i="20" s="1"/>
  <c r="J66" i="20" s="1"/>
  <c r="K66" i="20" s="1"/>
  <c r="L66" i="20" s="1"/>
  <c r="M66" i="20" s="1"/>
  <c r="N66" i="20" s="1"/>
  <c r="O66" i="20" s="1"/>
  <c r="D63" i="20"/>
  <c r="I60" i="19"/>
  <c r="I63" i="19" s="1"/>
  <c r="O60" i="19"/>
  <c r="O63" i="19" s="1"/>
  <c r="M61" i="19"/>
  <c r="J60" i="19"/>
  <c r="J63" i="19" s="1"/>
  <c r="F60" i="19"/>
  <c r="F63" i="19" s="1"/>
  <c r="K60" i="19"/>
  <c r="K63" i="19" s="1"/>
  <c r="P56" i="19"/>
  <c r="K55" i="3" s="1"/>
  <c r="D57" i="19"/>
  <c r="N60" i="19"/>
  <c r="N63" i="19" s="1"/>
  <c r="E61" i="19"/>
  <c r="F61" i="19" l="1"/>
  <c r="J61" i="19"/>
  <c r="G61" i="19"/>
  <c r="K61" i="19"/>
  <c r="I61" i="19"/>
  <c r="L61" i="19"/>
  <c r="O61" i="19"/>
  <c r="P57" i="19"/>
  <c r="K56" i="3" s="1"/>
  <c r="D59" i="19"/>
  <c r="P66" i="20"/>
  <c r="D65" i="20"/>
  <c r="E64" i="20" s="1"/>
  <c r="E65" i="20" s="1"/>
  <c r="F64" i="20" s="1"/>
  <c r="F65" i="20" s="1"/>
  <c r="G64" i="20" s="1"/>
  <c r="G65" i="20" s="1"/>
  <c r="H64" i="20" s="1"/>
  <c r="H65" i="20" s="1"/>
  <c r="I64" i="20" s="1"/>
  <c r="I65" i="20" s="1"/>
  <c r="J64" i="20" s="1"/>
  <c r="J65" i="20" s="1"/>
  <c r="K64" i="20" s="1"/>
  <c r="K65" i="20" s="1"/>
  <c r="L64" i="20" s="1"/>
  <c r="L65" i="20" s="1"/>
  <c r="M64" i="20" s="1"/>
  <c r="M65" i="20" s="1"/>
  <c r="N64" i="20" s="1"/>
  <c r="N65" i="20" s="1"/>
  <c r="O64" i="20" s="1"/>
  <c r="O65" i="20" s="1"/>
  <c r="P65" i="20" s="1"/>
  <c r="P63" i="20"/>
  <c r="J62" i="3" s="1"/>
  <c r="N61" i="19"/>
  <c r="J63" i="3" l="1"/>
  <c r="D64" i="19"/>
  <c r="P59" i="19"/>
  <c r="K58" i="3" s="1"/>
  <c r="D60" i="19"/>
  <c r="D61" i="19" s="1"/>
  <c r="P61" i="19" s="1"/>
  <c r="K60" i="3" s="1"/>
  <c r="I67" i="20"/>
  <c r="O67" i="20" s="1"/>
  <c r="P67" i="20" s="1"/>
  <c r="J65" i="3" s="1"/>
  <c r="J64" i="3"/>
  <c r="P60" i="19" l="1"/>
  <c r="K59" i="3" s="1"/>
  <c r="D66" i="19"/>
  <c r="E66" i="19" s="1"/>
  <c r="F66" i="19" s="1"/>
  <c r="G66" i="19" s="1"/>
  <c r="H66" i="19" s="1"/>
  <c r="I66" i="19" s="1"/>
  <c r="J66" i="19" s="1"/>
  <c r="K66" i="19" s="1"/>
  <c r="L66" i="19" s="1"/>
  <c r="M66" i="19" s="1"/>
  <c r="N66" i="19" s="1"/>
  <c r="O66" i="19" s="1"/>
  <c r="D63" i="19"/>
  <c r="P66" i="19" l="1"/>
  <c r="P63" i="19"/>
  <c r="K62" i="3" s="1"/>
  <c r="D65" i="19"/>
  <c r="E64" i="19" s="1"/>
  <c r="E65" i="19" s="1"/>
  <c r="F64" i="19" s="1"/>
  <c r="F65" i="19" s="1"/>
  <c r="G64" i="19" s="1"/>
  <c r="G65" i="19" s="1"/>
  <c r="H64" i="19" s="1"/>
  <c r="H65" i="19" s="1"/>
  <c r="I64" i="19" s="1"/>
  <c r="I65" i="19" s="1"/>
  <c r="J64" i="19" s="1"/>
  <c r="J65" i="19" s="1"/>
  <c r="K64" i="19" s="1"/>
  <c r="K65" i="19" s="1"/>
  <c r="L64" i="19" s="1"/>
  <c r="L65" i="19" s="1"/>
  <c r="M64" i="19" s="1"/>
  <c r="M65" i="19" s="1"/>
  <c r="N64" i="19" s="1"/>
  <c r="N65" i="19" s="1"/>
  <c r="O64" i="19" s="1"/>
  <c r="O65" i="19" s="1"/>
  <c r="P65" i="19" s="1"/>
  <c r="K63" i="3" s="1"/>
  <c r="I67" i="19" l="1"/>
  <c r="O67" i="19" s="1"/>
  <c r="P67" i="19" s="1"/>
  <c r="K65" i="3" s="1"/>
  <c r="K6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Antonius</author>
  </authors>
  <commentList>
    <comment ref="D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Antonius:</t>
        </r>
        <r>
          <rPr>
            <sz val="9"/>
            <color indexed="81"/>
            <rFont val="Tahoma"/>
            <family val="2"/>
          </rPr>
          <t xml:space="preserve">
You can change the units by pressing F3 and selecting a unit as described under 'General' tab, or you can add your own units. Does not affect calculations
</t>
        </r>
      </text>
    </comment>
  </commentList>
</comments>
</file>

<file path=xl/sharedStrings.xml><?xml version="1.0" encoding="utf-8"?>
<sst xmlns="http://schemas.openxmlformats.org/spreadsheetml/2006/main" count="1942" uniqueCount="542">
  <si>
    <t>GENERAL DESCRIPTION OF SYSTEM</t>
  </si>
  <si>
    <t>SYSTEM COMPONENT</t>
  </si>
  <si>
    <t>Crop</t>
  </si>
  <si>
    <t>Number of Rows</t>
  </si>
  <si>
    <t>Type of Greenhouse Structure</t>
  </si>
  <si>
    <t>Number of Paths</t>
  </si>
  <si>
    <t>CROP INFORMATION</t>
  </si>
  <si>
    <t>GREENHOUSE INFORMATION</t>
  </si>
  <si>
    <t>VALUE</t>
  </si>
  <si>
    <r>
      <t>Area under production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</si>
  <si>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Size of Greenhouse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</si>
  <si>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Number of Plants Per Row</t>
  </si>
  <si>
    <t>Total Number of Plants</t>
  </si>
  <si>
    <t>In Row Spacing (cm)</t>
  </si>
  <si>
    <t>Length of Row (m)</t>
  </si>
  <si>
    <t>Between Row Spacing (cm)</t>
  </si>
  <si>
    <t>Number of Rows Between Paths</t>
  </si>
  <si>
    <t>Width of Paths (cm)</t>
  </si>
  <si>
    <t>Length of Paths (m)</t>
  </si>
  <si>
    <t>Length of Greenhouse (m)</t>
  </si>
  <si>
    <t>Width of Greenhouse (m)</t>
  </si>
  <si>
    <t>CLIENT INFORMATION</t>
  </si>
  <si>
    <t>Telephone</t>
  </si>
  <si>
    <t>Name</t>
  </si>
  <si>
    <t>Organisation</t>
  </si>
  <si>
    <t>Address</t>
  </si>
  <si>
    <t>Postal Code</t>
  </si>
  <si>
    <t>Fax</t>
  </si>
  <si>
    <t>Cellular</t>
  </si>
  <si>
    <t>Contact Person</t>
  </si>
  <si>
    <t>:</t>
  </si>
  <si>
    <t>Page : 1</t>
  </si>
  <si>
    <t>Page : 2</t>
  </si>
  <si>
    <t>Page : 3</t>
  </si>
  <si>
    <t>SHADE CLOTH STRUCTURE</t>
  </si>
  <si>
    <t>Length of Cable (m)</t>
  </si>
  <si>
    <t>Number of Anchors</t>
  </si>
  <si>
    <t>Length of wire</t>
  </si>
  <si>
    <t>QTY</t>
  </si>
  <si>
    <t>UNIT</t>
  </si>
  <si>
    <t>PRICE</t>
  </si>
  <si>
    <t>COST</t>
  </si>
  <si>
    <t>Cost converted to:</t>
  </si>
  <si>
    <t>Conversion Factor:</t>
  </si>
  <si>
    <t>Transport</t>
  </si>
  <si>
    <t>Insurance</t>
  </si>
  <si>
    <t>Taxes</t>
  </si>
  <si>
    <t>Construction costs (Labour)</t>
  </si>
  <si>
    <t>Length of PVC Piping (50 mm)</t>
  </si>
  <si>
    <t>Number of 20 mm Elbows</t>
  </si>
  <si>
    <t>Number of 50 mm Elbows</t>
  </si>
  <si>
    <t>Number of 20 mm T-Pieces</t>
  </si>
  <si>
    <t>Number of 50 mm T-Pieces</t>
  </si>
  <si>
    <t>Number of 20 mm Stoppers</t>
  </si>
  <si>
    <t>Number of 50 mm Stoppers</t>
  </si>
  <si>
    <t>Number of 20 mm Clamps</t>
  </si>
  <si>
    <t>Number of 50 mm Clamps</t>
  </si>
  <si>
    <t>Length of Spaghetti Piping</t>
  </si>
  <si>
    <t>Number of Spaghetti Connectors</t>
  </si>
  <si>
    <t>Number of Drippers</t>
  </si>
  <si>
    <t>Number of Dripper Supports</t>
  </si>
  <si>
    <t>Number of Valves (Manual)</t>
  </si>
  <si>
    <t>pH Meter</t>
  </si>
  <si>
    <t>EC Meter</t>
  </si>
  <si>
    <t>Mixing Tank</t>
  </si>
  <si>
    <t>Control Panel</t>
  </si>
  <si>
    <t>Transformers</t>
  </si>
  <si>
    <t>Computers</t>
  </si>
  <si>
    <t>Computer Cards</t>
  </si>
  <si>
    <t>Software</t>
  </si>
  <si>
    <t>Small Pumps</t>
  </si>
  <si>
    <t>Large Pumps</t>
  </si>
  <si>
    <t>Venturi's</t>
  </si>
  <si>
    <t>Hand Held pH Meters</t>
  </si>
  <si>
    <t>Hand Held EC Meters</t>
  </si>
  <si>
    <t>Moisture Meters</t>
  </si>
  <si>
    <t>SYSTEM DESIGN - COVERING STRUCTURES</t>
  </si>
  <si>
    <t>SYSTEM DESIGN - IRRIGATION SYSTEMS</t>
  </si>
  <si>
    <t>TOTAL</t>
  </si>
  <si>
    <t>MULTI SPAN STRUCTURE</t>
  </si>
  <si>
    <t>Length of Shade Cloth (3m width) (m)</t>
  </si>
  <si>
    <t>Distance Between Poles (Length) (m)</t>
  </si>
  <si>
    <t>Distance Between Poles (Width) (m)</t>
  </si>
  <si>
    <t>Total Ex Works Price</t>
  </si>
  <si>
    <t>Supports</t>
  </si>
  <si>
    <t>Plastic Cover</t>
  </si>
  <si>
    <t>Plastic Sides</t>
  </si>
  <si>
    <t>Inner Doors</t>
  </si>
  <si>
    <t>Outer Doors</t>
  </si>
  <si>
    <t>Crop Supports</t>
  </si>
  <si>
    <t>Computer</t>
  </si>
  <si>
    <t>Sensors</t>
  </si>
  <si>
    <t>Unloading</t>
  </si>
  <si>
    <t>Construction</t>
  </si>
  <si>
    <t xml:space="preserve">TOTAL  </t>
  </si>
  <si>
    <t>CURRENCY</t>
  </si>
  <si>
    <t>PLASTIC TUNNEL</t>
  </si>
  <si>
    <t>Length of PVC Piping (20 mm) (m)</t>
  </si>
  <si>
    <t>SPAGHETTI IRRIGATION SYSTEM</t>
  </si>
  <si>
    <t>SYSTEM DESIGN - HEATING SYSTEMS</t>
  </si>
  <si>
    <t>COAL HEATING SYSTEM</t>
  </si>
  <si>
    <t>ELECTRIC HEATING SYSTEM</t>
  </si>
  <si>
    <t>PARAFFIN HEATING SYSTEM</t>
  </si>
  <si>
    <t>DIESEL HEATING SYSTEM</t>
  </si>
  <si>
    <t>GAS HEATING SYSTEM</t>
  </si>
  <si>
    <t>SYSTEM DESIGN - COOLING SYSTEMS</t>
  </si>
  <si>
    <t>WET WALL COOLING SYSTEM</t>
  </si>
  <si>
    <t>ELECTRICAL COOLING SYSTEM</t>
  </si>
  <si>
    <t>Boiler, Parts, Valve, Stoker, Chimney</t>
  </si>
  <si>
    <t>Labour</t>
  </si>
  <si>
    <t>Install Radiators</t>
  </si>
  <si>
    <t>Additional</t>
  </si>
  <si>
    <t>Electrical heater</t>
  </si>
  <si>
    <t>Installation</t>
  </si>
  <si>
    <t>Heater</t>
  </si>
  <si>
    <t>Burner</t>
  </si>
  <si>
    <t>Air outlet piping</t>
  </si>
  <si>
    <t>Fuel tank</t>
  </si>
  <si>
    <t>Fuel Piping</t>
  </si>
  <si>
    <t>Electrical components</t>
  </si>
  <si>
    <t>Coal Bunker</t>
  </si>
  <si>
    <t>Wall components</t>
  </si>
  <si>
    <t>Gutter</t>
  </si>
  <si>
    <t>Piping</t>
  </si>
  <si>
    <t>Tank</t>
  </si>
  <si>
    <t>Pump</t>
  </si>
  <si>
    <t>Control unit</t>
  </si>
  <si>
    <t>Electrical</t>
  </si>
  <si>
    <t>Fans</t>
  </si>
  <si>
    <t>Cooling units</t>
  </si>
  <si>
    <t>Radiators</t>
  </si>
  <si>
    <t>SYSTEM DESIGN - CIVIL ENGINEERING</t>
  </si>
  <si>
    <t>CIVIL ENGINEERING</t>
  </si>
  <si>
    <t>Leveling of soil</t>
  </si>
  <si>
    <t>Trenching</t>
  </si>
  <si>
    <t>Foundations</t>
  </si>
  <si>
    <t>Sand</t>
  </si>
  <si>
    <t>Stone</t>
  </si>
  <si>
    <t>Cement</t>
  </si>
  <si>
    <t>Water</t>
  </si>
  <si>
    <t>Storage</t>
  </si>
  <si>
    <t>Drainage</t>
  </si>
  <si>
    <t>Plumbing</t>
  </si>
  <si>
    <t>Bricks</t>
  </si>
  <si>
    <t>SYSTEM DESIGN - SMALL EQUIPMENT</t>
  </si>
  <si>
    <t>Personal computer</t>
  </si>
  <si>
    <t>Printer</t>
  </si>
  <si>
    <t>Chemical sprayers</t>
  </si>
  <si>
    <t>Crates</t>
  </si>
  <si>
    <t>SMALL EQUIPMENT</t>
  </si>
  <si>
    <t>Covering plastic for floor</t>
  </si>
  <si>
    <t>PRODUCTION COSTS</t>
  </si>
  <si>
    <t>SYSTEM DESIGN - PRODUCTION COSTS</t>
  </si>
  <si>
    <t>PRODUCTION COMPONENT</t>
  </si>
  <si>
    <t>NUMBER</t>
  </si>
  <si>
    <t>OF</t>
  </si>
  <si>
    <t>UNITS</t>
  </si>
  <si>
    <t>PER</t>
  </si>
  <si>
    <t>Growth media</t>
  </si>
  <si>
    <t>Saw dust</t>
  </si>
  <si>
    <t>Wood Shavings</t>
  </si>
  <si>
    <t>Perlite</t>
  </si>
  <si>
    <t>Vermiculite</t>
  </si>
  <si>
    <t>Crushed Stone</t>
  </si>
  <si>
    <r>
      <t>m</t>
    </r>
    <r>
      <rPr>
        <vertAlign val="superscript"/>
        <sz val="10"/>
        <rFont val="Arial"/>
        <family val="2"/>
      </rPr>
      <t>3</t>
    </r>
  </si>
  <si>
    <t>Growing Bags</t>
  </si>
  <si>
    <t>Bag</t>
  </si>
  <si>
    <t>Seed</t>
  </si>
  <si>
    <t>Water per plant per day</t>
  </si>
  <si>
    <t>l</t>
  </si>
  <si>
    <t>Fertilizer</t>
  </si>
  <si>
    <t>Pesticides</t>
  </si>
  <si>
    <t>one</t>
  </si>
  <si>
    <t>m</t>
  </si>
  <si>
    <t>per month</t>
  </si>
  <si>
    <t>Trellissing twine</t>
  </si>
  <si>
    <t>Trellissing hooks</t>
  </si>
  <si>
    <t>Electricity</t>
  </si>
  <si>
    <t>Coal</t>
  </si>
  <si>
    <t>Gas</t>
  </si>
  <si>
    <t>Diesel</t>
  </si>
  <si>
    <t>Paraffin</t>
  </si>
  <si>
    <t>Cleaning materials</t>
  </si>
  <si>
    <t>Protective wear</t>
  </si>
  <si>
    <t>Manpower</t>
  </si>
  <si>
    <t>Management - Salaries</t>
  </si>
  <si>
    <t>Management - Gratuities</t>
  </si>
  <si>
    <t>Management - Medical Aid</t>
  </si>
  <si>
    <t>Labour - Salaries</t>
  </si>
  <si>
    <t>Labour - Gratuities</t>
  </si>
  <si>
    <t>Labour - Medical Aid</t>
  </si>
  <si>
    <t>Management - Pension</t>
  </si>
  <si>
    <t>Labour - Pension</t>
  </si>
  <si>
    <t>Management - School fees</t>
  </si>
  <si>
    <t>Labour - School fees</t>
  </si>
  <si>
    <t>Additional Marketing Costs</t>
  </si>
  <si>
    <t>Packing</t>
  </si>
  <si>
    <t>kWh</t>
  </si>
  <si>
    <t>tonne</t>
  </si>
  <si>
    <t>km</t>
  </si>
  <si>
    <t>Repairs &amp; maintenance - structure</t>
  </si>
  <si>
    <t>Repairs &amp; maintenance - vehicles</t>
  </si>
  <si>
    <t>MARKET ANALYSIS</t>
  </si>
  <si>
    <t>DEMAND</t>
  </si>
  <si>
    <t>SUPPLY</t>
  </si>
  <si>
    <t>MARKET FACTOR</t>
  </si>
  <si>
    <t>Market Price</t>
  </si>
  <si>
    <t>Number of units per year</t>
  </si>
  <si>
    <t>Number of units per week</t>
  </si>
  <si>
    <t>Number of units per month</t>
  </si>
  <si>
    <t>Number of units per day</t>
  </si>
  <si>
    <t>kg</t>
  </si>
  <si>
    <t>PRODUCTION FACTOR</t>
  </si>
  <si>
    <t>Number of units produced per plant</t>
  </si>
  <si>
    <t>Total units produced per year</t>
  </si>
  <si>
    <t>Total Units produced per month</t>
  </si>
  <si>
    <t>Total units produced per week</t>
  </si>
  <si>
    <t>Total units produced per day</t>
  </si>
  <si>
    <t>Number of cycles per year:</t>
  </si>
  <si>
    <t>Length of production cycle (days):</t>
  </si>
  <si>
    <t>Supply calculated for a total period of</t>
  </si>
  <si>
    <t>months per year</t>
  </si>
  <si>
    <t>Market price per unit:</t>
  </si>
  <si>
    <t>BALANCE</t>
  </si>
  <si>
    <t>FACTOR</t>
  </si>
  <si>
    <t>SURPLUS</t>
  </si>
  <si>
    <t>/</t>
  </si>
  <si>
    <t>(DEFICIT)</t>
  </si>
  <si>
    <t>Total units per year</t>
  </si>
  <si>
    <t>Total units per month</t>
  </si>
  <si>
    <t>Total units per week</t>
  </si>
  <si>
    <t>Total units per day</t>
  </si>
  <si>
    <t>SUMMARY 1 - DETAILED COSTING</t>
  </si>
  <si>
    <t>COST OF INFRASTRUCTURE</t>
  </si>
  <si>
    <t>COMPONENT</t>
  </si>
  <si>
    <t>OPERATIONAL COSTS</t>
  </si>
  <si>
    <t>SHADE</t>
  </si>
  <si>
    <t>MULTI</t>
  </si>
  <si>
    <t>PLASTIC</t>
  </si>
  <si>
    <t>NTF</t>
  </si>
  <si>
    <t>COAL</t>
  </si>
  <si>
    <t>ELECT</t>
  </si>
  <si>
    <t>PARAFIN</t>
  </si>
  <si>
    <t>DIESEL</t>
  </si>
  <si>
    <t>GAS</t>
  </si>
  <si>
    <t>WET</t>
  </si>
  <si>
    <t>CIVILS</t>
  </si>
  <si>
    <t>COVERING STRUCTURE</t>
  </si>
  <si>
    <t>Shade Net</t>
  </si>
  <si>
    <t>Multi Span</t>
  </si>
  <si>
    <t>Plastic Tunnel</t>
  </si>
  <si>
    <t>IRRIGATION</t>
  </si>
  <si>
    <t>Spaghetti</t>
  </si>
  <si>
    <t>NFT</t>
  </si>
  <si>
    <t>HEATING</t>
  </si>
  <si>
    <t>Electric</t>
  </si>
  <si>
    <t>COOLING</t>
  </si>
  <si>
    <t>Wet Wall</t>
  </si>
  <si>
    <t>SMALLER EQUIPMENT</t>
  </si>
  <si>
    <t>Thermohygrograph</t>
  </si>
  <si>
    <t>Electricity - (not heating/cooling)</t>
  </si>
  <si>
    <t>Fuel - (not heating/cooling)</t>
  </si>
  <si>
    <t>HEATING COSTS</t>
  </si>
  <si>
    <t>HEATING SYSTEM</t>
  </si>
  <si>
    <t>CONSUMPTION</t>
  </si>
  <si>
    <t>HOUR</t>
  </si>
  <si>
    <t>HOURS</t>
  </si>
  <si>
    <t>YEAR</t>
  </si>
  <si>
    <t>OPERATE</t>
  </si>
  <si>
    <t>PARAFF</t>
  </si>
  <si>
    <t>COOLING COSTS</t>
  </si>
  <si>
    <t>WATER</t>
  </si>
  <si>
    <t>INCOME</t>
  </si>
  <si>
    <t>Projected income</t>
  </si>
  <si>
    <t>Expected Yield per Plant (kg)</t>
  </si>
  <si>
    <t>Required Yield per Year (kg)</t>
  </si>
  <si>
    <t>Number of Cycles per Year</t>
  </si>
  <si>
    <t>Number of Plants per Cycle</t>
  </si>
  <si>
    <t>CALCULATORS</t>
  </si>
  <si>
    <t>Expected Yield per Plant (Number)</t>
  </si>
  <si>
    <t>Required Yield per Year (Number)</t>
  </si>
  <si>
    <t>NFT SYSTEM</t>
  </si>
  <si>
    <t>Number of Outer Poles</t>
  </si>
  <si>
    <t>Number of Inner Poles</t>
  </si>
  <si>
    <t>Steel Frame</t>
  </si>
  <si>
    <t>Plastic Cover Double</t>
  </si>
  <si>
    <t>Plastic Cover Single</t>
  </si>
  <si>
    <t>Ventilation</t>
  </si>
  <si>
    <t>Fan</t>
  </si>
  <si>
    <t>Number of Solenoid Valves (Electric)</t>
  </si>
  <si>
    <t>Mixing System (10000 l)</t>
  </si>
  <si>
    <t>Filter (micro)</t>
  </si>
  <si>
    <t>Filter (Sand)</t>
  </si>
  <si>
    <t>Non Return Valves</t>
  </si>
  <si>
    <t>Pressure Regulating Valves</t>
  </si>
  <si>
    <t>Ball Valves</t>
  </si>
  <si>
    <t>Alarm System</t>
  </si>
  <si>
    <t>Timers</t>
  </si>
  <si>
    <t>Earth Leakage and Trips</t>
  </si>
  <si>
    <t>DB Board</t>
  </si>
  <si>
    <t>Underground Cable (m)</t>
  </si>
  <si>
    <t>Generator</t>
  </si>
  <si>
    <t>PC Drippers</t>
  </si>
  <si>
    <t>Valves (Solenoid)</t>
  </si>
  <si>
    <t>Valves (Manual)</t>
  </si>
  <si>
    <t>Pump (Stainless Steel)</t>
  </si>
  <si>
    <t>Small Tanks</t>
  </si>
  <si>
    <t>Large Tanks</t>
  </si>
  <si>
    <t>Elbows (32 mm)</t>
  </si>
  <si>
    <t>T Pieces (32 mm)</t>
  </si>
  <si>
    <t>PVC Pipe (32 mm)</t>
  </si>
  <si>
    <t>PVC Pipe (110 mm)</t>
  </si>
  <si>
    <t>Reinforcing</t>
  </si>
  <si>
    <t>Wendy House</t>
  </si>
  <si>
    <t>EC - Meter</t>
  </si>
  <si>
    <t>pH - Meter</t>
  </si>
  <si>
    <t>Mixing System (In line)</t>
  </si>
  <si>
    <t>Control Board</t>
  </si>
  <si>
    <t>Electrical Installation</t>
  </si>
  <si>
    <t>Underground Electric Cable</t>
  </si>
  <si>
    <t>DB - Board</t>
  </si>
  <si>
    <t>NFT Plastic Channel (500 micron) (m)</t>
  </si>
  <si>
    <r>
      <t>Crushed Stone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</si>
  <si>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Steel Wire (m)</t>
  </si>
  <si>
    <t>Pressure Regulating Valve</t>
  </si>
  <si>
    <t>Page : 4 - a</t>
  </si>
  <si>
    <t>Page : 4 - b</t>
  </si>
  <si>
    <t>Page 5 - a</t>
  </si>
  <si>
    <t>Warning System</t>
  </si>
  <si>
    <t>Page 5 - b</t>
  </si>
  <si>
    <t>Gas Leakage Sensor</t>
  </si>
  <si>
    <t>Page 6</t>
  </si>
  <si>
    <t>Shade Net for Parking</t>
  </si>
  <si>
    <t>Poles for Parking</t>
  </si>
  <si>
    <t>Tarmac</t>
  </si>
  <si>
    <t>PACKING SHED</t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</si>
  <si>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</si>
  <si>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Tables</t>
  </si>
  <si>
    <t>PACKING</t>
  </si>
  <si>
    <t>COLD STORAGE</t>
  </si>
  <si>
    <t>Shelves</t>
  </si>
  <si>
    <t>Cooling Units</t>
  </si>
  <si>
    <t>Controls</t>
  </si>
  <si>
    <t>COLD</t>
  </si>
  <si>
    <t>CHEMICAL STORE</t>
  </si>
  <si>
    <t>Extraction Fan</t>
  </si>
  <si>
    <t>Chemical Balance</t>
  </si>
  <si>
    <t>CHEMIC</t>
  </si>
  <si>
    <t>FERTILISER STORE</t>
  </si>
  <si>
    <t>FERTIL</t>
  </si>
  <si>
    <t>OFFICE</t>
  </si>
  <si>
    <t>LABOUR REST ROOMS</t>
  </si>
  <si>
    <t>Lockers</t>
  </si>
  <si>
    <t>REST</t>
  </si>
  <si>
    <t>Page 7 - a</t>
  </si>
  <si>
    <t>Page 7 - b</t>
  </si>
  <si>
    <t>Trolleys</t>
  </si>
  <si>
    <t>Small Tractor</t>
  </si>
  <si>
    <t>Small Trailer</t>
  </si>
  <si>
    <t>LDV</t>
  </si>
  <si>
    <t>Cold Truck</t>
  </si>
  <si>
    <t>Delivery Truch (2T)</t>
  </si>
  <si>
    <t>Protective Wear</t>
  </si>
  <si>
    <t>Fire and Safety Equipment</t>
  </si>
  <si>
    <t>Cleaning Bath</t>
  </si>
  <si>
    <t>Portable Shower</t>
  </si>
  <si>
    <t>Sterilisation Pouches</t>
  </si>
  <si>
    <t>Pruning Knives</t>
  </si>
  <si>
    <t>Pruning Scissors</t>
  </si>
  <si>
    <t>Wheel Burrows</t>
  </si>
  <si>
    <t>Seedling Tables</t>
  </si>
  <si>
    <t>Seedling Trays</t>
  </si>
  <si>
    <t>Lights</t>
  </si>
  <si>
    <t>Sorter (Grader)</t>
  </si>
  <si>
    <t>Shrinkwrapper</t>
  </si>
  <si>
    <t>Washing Machine</t>
  </si>
  <si>
    <t>Waxer</t>
  </si>
  <si>
    <t>Page 8</t>
  </si>
  <si>
    <t>Trellissing Clamps</t>
  </si>
  <si>
    <t>Filter Replacements</t>
  </si>
  <si>
    <t>Dripper Replacements</t>
  </si>
  <si>
    <t>Water Analysis</t>
  </si>
  <si>
    <t>Plant (leaf) analysis</t>
  </si>
  <si>
    <t>Page 9</t>
  </si>
  <si>
    <t>Page 10</t>
  </si>
  <si>
    <t>Page 11-a</t>
  </si>
  <si>
    <t>PROJECTIONS - PRODUCTION REVENUE AND EXPENDITURE</t>
  </si>
  <si>
    <t>PRODUCTION REVENUE</t>
  </si>
  <si>
    <t>JAN</t>
  </si>
  <si>
    <t>FEB</t>
  </si>
  <si>
    <t>MRT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</si>
  <si>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</si>
  <si>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</si>
  <si>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</si>
  <si>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</si>
  <si>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</si>
  <si>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</si>
  <si>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</si>
  <si>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</si>
  <si>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</si>
  <si>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ESTIMATED PERCENTAGE</t>
  </si>
  <si>
    <t>Yield - Cycle 3</t>
  </si>
  <si>
    <t>Yield - Cycle 1</t>
  </si>
  <si>
    <t>Yield - Cycle 2</t>
  </si>
  <si>
    <t>Yield - Cycle 4</t>
  </si>
  <si>
    <t>Yield - Cycle 5</t>
  </si>
  <si>
    <t>Yield - Cycle 6</t>
  </si>
  <si>
    <t>Yield - Cycle 7</t>
  </si>
  <si>
    <t>Yield - Cycle 8</t>
  </si>
  <si>
    <t>TOTAL YIELD</t>
  </si>
  <si>
    <t>TOTAL REVENUE</t>
  </si>
  <si>
    <t>PRODUCTION EXPENDITURE</t>
  </si>
  <si>
    <t>CAPITAL EXPENDITURE</t>
  </si>
  <si>
    <t>Heating Costs</t>
  </si>
  <si>
    <t>Cooling Costs</t>
  </si>
  <si>
    <t>Covering Structure</t>
  </si>
  <si>
    <t>Irrigation</t>
  </si>
  <si>
    <t>Cooling</t>
  </si>
  <si>
    <t>Heating</t>
  </si>
  <si>
    <t>Civil Engineering</t>
  </si>
  <si>
    <t>Packing Shed</t>
  </si>
  <si>
    <t>Cold Storage</t>
  </si>
  <si>
    <t>Chemical Store</t>
  </si>
  <si>
    <t>Fertiliser Store</t>
  </si>
  <si>
    <t>Office</t>
  </si>
  <si>
    <t>Labour Rest Rooms</t>
  </si>
  <si>
    <t>Smaller Equipment</t>
  </si>
  <si>
    <t>TOTAL CAPITAL EXPENDITURE</t>
  </si>
  <si>
    <t>Miscellaneous</t>
  </si>
  <si>
    <t>Rental</t>
  </si>
  <si>
    <t>Repairs &amp; Maintenance - Structure</t>
  </si>
  <si>
    <t>Repairs &amp; Maintenance - Vehicles</t>
  </si>
  <si>
    <t>PRODUCTION EXPENDITURE - CYCLE 1</t>
  </si>
  <si>
    <t>TOTAL FIXED ANNUAL EXPENDITURE</t>
  </si>
  <si>
    <t>FIXED ANNUAL EXPENDITURE</t>
  </si>
  <si>
    <t>TOTAL VARIABLE EXPENDITURE - CYCLE 1</t>
  </si>
  <si>
    <t>PRODUCTION EXPENDITURE - CYCLE 2</t>
  </si>
  <si>
    <t>PRODUCTION EXPENDITURE - CYCLE 3</t>
  </si>
  <si>
    <t>PRODUCTION EXPENDITURE - CYCLE 4</t>
  </si>
  <si>
    <t>TOTAL VARIABLE EXPENDITURE - CYCLE 3</t>
  </si>
  <si>
    <t>TOTAL VARIABLE EXPENDITURE - CYCLE 2</t>
  </si>
  <si>
    <t>TOTAL VARIABLE EXPENDITURE - CYCLE 4</t>
  </si>
  <si>
    <t>PRODUCTION EXPENDITURE - CYCLE 5</t>
  </si>
  <si>
    <t>TOTAL VARIABLE EXPENDITURE - CYCLE 5</t>
  </si>
  <si>
    <t>PRODUCTION EXPENDITURE - CYCLE 6</t>
  </si>
  <si>
    <t>TOTAL VARIABLE EXPENDITURE - CYCLE 6</t>
  </si>
  <si>
    <t>PRODUCTION EXPENDITURE - CYCLE 7</t>
  </si>
  <si>
    <t>TOTAL VARIABLE EXPENDITURE - CYCLE 7</t>
  </si>
  <si>
    <t>PRODUCTION EXPENDITURE - CYCLE 8</t>
  </si>
  <si>
    <t>TOTAL VARIABLE EXPENDITURE - CYCLE 8</t>
  </si>
  <si>
    <t>CYCLES 1 TO 8</t>
  </si>
  <si>
    <t>Page 12 - a</t>
  </si>
  <si>
    <t>Page 12 - b</t>
  </si>
  <si>
    <t>Page 12 - c</t>
  </si>
  <si>
    <t>Page 12 - d</t>
  </si>
  <si>
    <t>Page 12 - e</t>
  </si>
  <si>
    <t>Page 12 - f</t>
  </si>
  <si>
    <t>Page 12 - g</t>
  </si>
  <si>
    <t>Page 12 - h</t>
  </si>
  <si>
    <t>Page 12 - I</t>
  </si>
  <si>
    <t>CASH FLOW - YEAR 1</t>
  </si>
  <si>
    <t>PROJECTED CASH FLOW</t>
  </si>
  <si>
    <t>REVENUE</t>
  </si>
  <si>
    <t>Crop Yield (kg)</t>
  </si>
  <si>
    <t>Market Price (per kg)</t>
  </si>
  <si>
    <t>EXPENDITURE</t>
  </si>
  <si>
    <t>Consulting and Training Costs</t>
  </si>
  <si>
    <t>Ongoing Captial Expenditure</t>
  </si>
  <si>
    <t>Contingency</t>
  </si>
  <si>
    <t>FIXED OPERATIONAL EXPENDITURE</t>
  </si>
  <si>
    <t>Production Costs</t>
  </si>
  <si>
    <t>Interest on Loan</t>
  </si>
  <si>
    <t>TOTAL EXPENDITURE</t>
  </si>
  <si>
    <t>Initial Loan:</t>
  </si>
  <si>
    <t>NET INCOME/(LOSS) BEFORE TAXATION</t>
  </si>
  <si>
    <t>Repayment of Loan</t>
  </si>
  <si>
    <t>Tax rate:</t>
  </si>
  <si>
    <t>Page 13</t>
  </si>
  <si>
    <t>CASH FLOW - YEAR 2</t>
  </si>
  <si>
    <t>Interest Rate:</t>
  </si>
  <si>
    <t>TAX CONSEQUENCES</t>
  </si>
  <si>
    <t>TAXABLE INCOME/(LOSS)</t>
  </si>
  <si>
    <t>TAX</t>
  </si>
  <si>
    <t>NETT INCOME/(LOSS) AFTER TAXATION</t>
  </si>
  <si>
    <t>NETT CASH FLOW</t>
  </si>
  <si>
    <t>Payback Period:</t>
  </si>
  <si>
    <t>Opening Bank Balance</t>
  </si>
  <si>
    <t>Closing Bank Balance</t>
  </si>
  <si>
    <t>TAX PAYABLE</t>
  </si>
  <si>
    <t>ACCUMULATIVE TAX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</si>
  <si>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</si>
  <si>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</si>
  <si>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</si>
  <si>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</si>
  <si>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</si>
  <si>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</si>
  <si>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</si>
  <si>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</si>
  <si>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Bank Balance</t>
  </si>
  <si>
    <t>CASH FLOW - ANNUAL</t>
  </si>
  <si>
    <t>Page 14</t>
  </si>
  <si>
    <t>Page 15</t>
  </si>
  <si>
    <t>CASH FLOW - YEAR 3</t>
  </si>
  <si>
    <t>Page 16</t>
  </si>
  <si>
    <t>CASH FLOW - YEAR 4</t>
  </si>
  <si>
    <t>Page 17</t>
  </si>
  <si>
    <t>CASH FLOW - YEAR 5</t>
  </si>
  <si>
    <t>Page 18</t>
  </si>
  <si>
    <t>CASH FLOW - YEAR 6</t>
  </si>
  <si>
    <t>Page 19</t>
  </si>
  <si>
    <t>CASH FLOW - YEAR 7</t>
  </si>
  <si>
    <t>Page 20</t>
  </si>
  <si>
    <t>CASH FLOW - YEAR 8</t>
  </si>
  <si>
    <t>Page 21</t>
  </si>
  <si>
    <t>EUR</t>
  </si>
  <si>
    <t>CURRENCIES</t>
  </si>
  <si>
    <t>Currency 1</t>
  </si>
  <si>
    <t>Currency 2</t>
  </si>
  <si>
    <t>USD</t>
  </si>
  <si>
    <t>Units</t>
  </si>
  <si>
    <t>Length</t>
  </si>
  <si>
    <t>sqrm</t>
  </si>
  <si>
    <t>L</t>
  </si>
  <si>
    <t>Weight</t>
  </si>
  <si>
    <t>Surface area</t>
  </si>
  <si>
    <t>Number</t>
  </si>
  <si>
    <t>Time</t>
  </si>
  <si>
    <t>each</t>
  </si>
  <si>
    <t>$/hr</t>
  </si>
  <si>
    <t>Distance travelled</t>
  </si>
  <si>
    <t>Volume liquid</t>
  </si>
  <si>
    <t>Volume material</t>
  </si>
  <si>
    <t>UNTIS</t>
  </si>
  <si>
    <t>Trellissing twine ROLLS</t>
  </si>
  <si>
    <t>Printing labels</t>
  </si>
  <si>
    <t>Packaging cartons</t>
  </si>
  <si>
    <t>Wrapping rolls</t>
  </si>
  <si>
    <t>%</t>
  </si>
  <si>
    <t>Price</t>
  </si>
  <si>
    <t>Yield per cycle:</t>
  </si>
  <si>
    <t>price unit weight</t>
  </si>
  <si>
    <t>SPAGHETTI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</si>
</sst>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 inden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2" fillId="2" borderId="1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/>
    <xf numFmtId="0" fontId="2" fillId="2" borderId="16" xfId="0" applyFont="1" applyFill="1" applyBorder="1"/>
    <xf numFmtId="0" fontId="2" fillId="0" borderId="17" xfId="0" applyFont="1" applyBorder="1"/>
    <xf numFmtId="0" fontId="2" fillId="3" borderId="17" xfId="0" applyFont="1" applyFill="1" applyBorder="1"/>
    <xf numFmtId="0" fontId="0" fillId="3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4" borderId="0" xfId="0" applyFont="1" applyFill="1"/>
    <xf numFmtId="0" fontId="5" fillId="4" borderId="0" xfId="0" applyFont="1" applyFill="1"/>
    <xf numFmtId="0" fontId="0" fillId="0" borderId="22" xfId="0" applyBorder="1"/>
    <xf numFmtId="0" fontId="0" fillId="0" borderId="23" xfId="0" applyBorder="1"/>
    <xf numFmtId="0" fontId="2" fillId="0" borderId="24" xfId="0" quotePrefix="1" applyFont="1" applyBorder="1"/>
    <xf numFmtId="0" fontId="2" fillId="0" borderId="25" xfId="0" quotePrefix="1" applyFont="1" applyBorder="1"/>
    <xf numFmtId="0" fontId="2" fillId="0" borderId="0" xfId="0" quotePrefix="1" applyFont="1"/>
    <xf numFmtId="0" fontId="2" fillId="0" borderId="26" xfId="0" applyFont="1" applyBorder="1"/>
    <xf numFmtId="0" fontId="2" fillId="0" borderId="27" xfId="0" quotePrefix="1" applyFont="1" applyBorder="1"/>
    <xf numFmtId="0" fontId="2" fillId="0" borderId="29" xfId="0" applyFont="1" applyBorder="1"/>
    <xf numFmtId="0" fontId="2" fillId="0" borderId="31" xfId="0" applyFont="1" applyBorder="1"/>
    <xf numFmtId="0" fontId="2" fillId="0" borderId="4" xfId="0" applyFont="1" applyBorder="1"/>
    <xf numFmtId="0" fontId="2" fillId="0" borderId="22" xfId="0" applyFont="1" applyBorder="1"/>
    <xf numFmtId="0" fontId="2" fillId="0" borderId="23" xfId="0" quotePrefix="1" applyFont="1" applyBorder="1"/>
    <xf numFmtId="0" fontId="2" fillId="0" borderId="33" xfId="0" applyFont="1" applyBorder="1"/>
    <xf numFmtId="0" fontId="2" fillId="0" borderId="34" xfId="0" quotePrefix="1" applyFont="1" applyBorder="1"/>
    <xf numFmtId="0" fontId="2" fillId="0" borderId="36" xfId="0" quotePrefix="1" applyFont="1" applyBorder="1"/>
    <xf numFmtId="0" fontId="0" fillId="4" borderId="0" xfId="0" applyFill="1"/>
    <xf numFmtId="0" fontId="6" fillId="0" borderId="10" xfId="0" applyFont="1" applyBorder="1"/>
    <xf numFmtId="0" fontId="2" fillId="3" borderId="37" xfId="0" applyFont="1" applyFill="1" applyBorder="1"/>
    <xf numFmtId="2" fontId="5" fillId="4" borderId="0" xfId="0" applyNumberFormat="1" applyFont="1" applyFill="1"/>
    <xf numFmtId="2" fontId="0" fillId="0" borderId="0" xfId="0" applyNumberFormat="1"/>
    <xf numFmtId="0" fontId="0" fillId="0" borderId="38" xfId="0" applyBorder="1"/>
    <xf numFmtId="2" fontId="0" fillId="0" borderId="40" xfId="0" applyNumberFormat="1" applyBorder="1"/>
    <xf numFmtId="2" fontId="0" fillId="0" borderId="14" xfId="0" applyNumberFormat="1" applyBorder="1"/>
    <xf numFmtId="0" fontId="0" fillId="0" borderId="9" xfId="0" applyBorder="1" applyAlignment="1">
      <alignment horizontal="left" indent="1"/>
    </xf>
    <xf numFmtId="0" fontId="2" fillId="0" borderId="13" xfId="0" applyFont="1" applyBorder="1" applyAlignment="1">
      <alignment horizontal="right"/>
    </xf>
    <xf numFmtId="0" fontId="0" fillId="0" borderId="7" xfId="0" applyBorder="1"/>
    <xf numFmtId="4" fontId="5" fillId="4" borderId="0" xfId="0" applyNumberFormat="1" applyFont="1" applyFill="1"/>
    <xf numFmtId="4" fontId="0" fillId="0" borderId="0" xfId="0" applyNumberFormat="1"/>
    <xf numFmtId="4" fontId="0" fillId="0" borderId="40" xfId="0" applyNumberFormat="1" applyBorder="1"/>
    <xf numFmtId="4" fontId="0" fillId="0" borderId="14" xfId="0" applyNumberFormat="1" applyBorder="1"/>
    <xf numFmtId="4" fontId="0" fillId="0" borderId="1" xfId="0" applyNumberFormat="1" applyBorder="1"/>
    <xf numFmtId="4" fontId="0" fillId="0" borderId="3" xfId="0" applyNumberFormat="1" applyBorder="1"/>
    <xf numFmtId="4" fontId="0" fillId="0" borderId="39" xfId="0" applyNumberFormat="1" applyBorder="1"/>
    <xf numFmtId="4" fontId="0" fillId="0" borderId="8" xfId="0" applyNumberFormat="1" applyBorder="1"/>
    <xf numFmtId="4" fontId="2" fillId="0" borderId="0" xfId="0" applyNumberFormat="1" applyFont="1"/>
    <xf numFmtId="4" fontId="0" fillId="0" borderId="38" xfId="0" applyNumberFormat="1" applyBorder="1"/>
    <xf numFmtId="4" fontId="0" fillId="0" borderId="10" xfId="0" applyNumberFormat="1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6" fillId="0" borderId="0" xfId="0" applyFont="1"/>
    <xf numFmtId="0" fontId="2" fillId="0" borderId="1" xfId="0" applyFont="1" applyBorder="1"/>
    <xf numFmtId="2" fontId="0" fillId="0" borderId="4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1" xfId="0" applyBorder="1"/>
    <xf numFmtId="0" fontId="0" fillId="0" borderId="13" xfId="0" applyBorder="1"/>
    <xf numFmtId="2" fontId="0" fillId="0" borderId="4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/>
    <xf numFmtId="0" fontId="0" fillId="0" borderId="4" xfId="0" applyBorder="1" applyAlignment="1">
      <alignment horizontal="left" indent="2"/>
    </xf>
    <xf numFmtId="0" fontId="0" fillId="0" borderId="43" xfId="0" applyBorder="1" applyAlignment="1">
      <alignment horizontal="left" indent="2"/>
    </xf>
    <xf numFmtId="0" fontId="0" fillId="0" borderId="29" xfId="0" applyBorder="1"/>
    <xf numFmtId="0" fontId="0" fillId="0" borderId="33" xfId="0" applyBorder="1"/>
    <xf numFmtId="2" fontId="0" fillId="0" borderId="0" xfId="0" applyNumberFormat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3" borderId="37" xfId="0" applyFont="1" applyFill="1" applyBorder="1"/>
    <xf numFmtId="0" fontId="11" fillId="0" borderId="4" xfId="0" applyFont="1" applyBorder="1" applyAlignment="1">
      <alignment horizontal="left" indent="2"/>
    </xf>
    <xf numFmtId="0" fontId="11" fillId="0" borderId="43" xfId="0" applyFont="1" applyBorder="1" applyAlignment="1">
      <alignment horizontal="left" indent="2"/>
    </xf>
    <xf numFmtId="2" fontId="5" fillId="4" borderId="0" xfId="0" applyNumberFormat="1" applyFont="1" applyFill="1" applyAlignment="1">
      <alignment horizontal="center"/>
    </xf>
    <xf numFmtId="0" fontId="12" fillId="0" borderId="4" xfId="0" applyFont="1" applyBorder="1" applyAlignment="1">
      <alignment horizontal="left" indent="1"/>
    </xf>
    <xf numFmtId="0" fontId="12" fillId="0" borderId="31" xfId="0" applyFont="1" applyBorder="1" applyAlignment="1">
      <alignment horizontal="left" indent="1"/>
    </xf>
    <xf numFmtId="0" fontId="12" fillId="0" borderId="29" xfId="0" applyFont="1" applyBorder="1"/>
    <xf numFmtId="0" fontId="12" fillId="0" borderId="33" xfId="0" applyFont="1" applyBorder="1"/>
    <xf numFmtId="0" fontId="11" fillId="3" borderId="18" xfId="0" applyFont="1" applyFill="1" applyBorder="1" applyAlignment="1">
      <alignment horizontal="center"/>
    </xf>
    <xf numFmtId="0" fontId="12" fillId="3" borderId="17" xfId="0" applyFont="1" applyFill="1" applyBorder="1"/>
    <xf numFmtId="0" fontId="0" fillId="0" borderId="0" xfId="0" quotePrefix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2" fillId="0" borderId="43" xfId="0" applyFont="1" applyBorder="1" applyAlignment="1">
      <alignment horizontal="left"/>
    </xf>
    <xf numFmtId="0" fontId="0" fillId="0" borderId="26" xfId="0" applyBorder="1"/>
    <xf numFmtId="0" fontId="0" fillId="0" borderId="12" xfId="0" applyBorder="1"/>
    <xf numFmtId="0" fontId="0" fillId="2" borderId="15" xfId="0" applyFill="1" applyBorder="1"/>
    <xf numFmtId="4" fontId="0" fillId="0" borderId="1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20" xfId="0" applyNumberFormat="1" applyBorder="1"/>
    <xf numFmtId="4" fontId="0" fillId="4" borderId="0" xfId="0" applyNumberFormat="1" applyFill="1"/>
    <xf numFmtId="0" fontId="0" fillId="4" borderId="5" xfId="0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4" fontId="0" fillId="0" borderId="23" xfId="0" applyNumberFormat="1" applyBorder="1"/>
    <xf numFmtId="0" fontId="2" fillId="2" borderId="11" xfId="0" applyFont="1" applyFill="1" applyBorder="1" applyAlignment="1">
      <alignment horizontal="center"/>
    </xf>
    <xf numFmtId="4" fontId="2" fillId="2" borderId="41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2" borderId="11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4" fontId="2" fillId="2" borderId="40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0" fontId="0" fillId="2" borderId="45" xfId="0" applyFill="1" applyBorder="1"/>
    <xf numFmtId="4" fontId="2" fillId="2" borderId="45" xfId="0" applyNumberFormat="1" applyFont="1" applyFill="1" applyBorder="1"/>
    <xf numFmtId="4" fontId="2" fillId="2" borderId="16" xfId="0" applyNumberFormat="1" applyFont="1" applyFill="1" applyBorder="1"/>
    <xf numFmtId="2" fontId="2" fillId="2" borderId="41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40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2" fillId="2" borderId="39" xfId="0" applyFont="1" applyFill="1" applyBorder="1" applyAlignment="1">
      <alignment horizontal="center"/>
    </xf>
    <xf numFmtId="2" fontId="2" fillId="2" borderId="39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indent="1"/>
    </xf>
    <xf numFmtId="0" fontId="2" fillId="2" borderId="45" xfId="0" applyFont="1" applyFill="1" applyBorder="1"/>
    <xf numFmtId="2" fontId="0" fillId="0" borderId="20" xfId="0" applyNumberFormat="1" applyBorder="1"/>
    <xf numFmtId="2" fontId="0" fillId="4" borderId="0" xfId="0" applyNumberFormat="1" applyFill="1"/>
    <xf numFmtId="2" fontId="5" fillId="4" borderId="5" xfId="0" applyNumberFormat="1" applyFont="1" applyFill="1" applyBorder="1"/>
    <xf numFmtId="0" fontId="2" fillId="0" borderId="23" xfId="0" applyFont="1" applyBorder="1"/>
    <xf numFmtId="4" fontId="2" fillId="0" borderId="23" xfId="0" applyNumberFormat="1" applyFont="1" applyBorder="1"/>
    <xf numFmtId="2" fontId="0" fillId="0" borderId="23" xfId="0" applyNumberFormat="1" applyBorder="1"/>
    <xf numFmtId="0" fontId="6" fillId="0" borderId="2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4" fontId="6" fillId="0" borderId="4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2" borderId="45" xfId="0" applyNumberFormat="1" applyFill="1" applyBorder="1" applyAlignment="1">
      <alignment horizontal="right"/>
    </xf>
    <xf numFmtId="4" fontId="2" fillId="2" borderId="45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40" xfId="0" applyBorder="1" applyAlignment="1">
      <alignment horizontal="right"/>
    </xf>
    <xf numFmtId="0" fontId="2" fillId="2" borderId="4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4" fontId="0" fillId="0" borderId="49" xfId="0" applyNumberFormat="1" applyBorder="1" applyAlignment="1">
      <alignment horizontal="right"/>
    </xf>
    <xf numFmtId="0" fontId="2" fillId="2" borderId="45" xfId="0" applyFont="1" applyFill="1" applyBorder="1" applyAlignment="1">
      <alignment horizontal="right"/>
    </xf>
    <xf numFmtId="2" fontId="0" fillId="4" borderId="5" xfId="0" applyNumberFormat="1" applyFill="1" applyBorder="1"/>
    <xf numFmtId="2" fontId="2" fillId="2" borderId="4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4" fontId="0" fillId="0" borderId="50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0" fontId="0" fillId="0" borderId="38" xfId="0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46" xfId="0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2" fontId="2" fillId="2" borderId="52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0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53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48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54" xfId="0" applyNumberFormat="1" applyFont="1" applyFill="1" applyBorder="1" applyAlignment="1">
      <alignment horizontal="center"/>
    </xf>
    <xf numFmtId="0" fontId="2" fillId="2" borderId="17" xfId="0" applyFont="1" applyFill="1" applyBorder="1"/>
    <xf numFmtId="4" fontId="0" fillId="0" borderId="0" xfId="0" applyNumberFormat="1" applyAlignment="1">
      <alignment horizontal="right"/>
    </xf>
    <xf numFmtId="4" fontId="0" fillId="0" borderId="4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2" fillId="2" borderId="36" xfId="0" applyNumberFormat="1" applyFont="1" applyFill="1" applyBorder="1" applyAlignment="1">
      <alignment horizontal="right"/>
    </xf>
    <xf numFmtId="4" fontId="2" fillId="2" borderId="18" xfId="0" applyNumberFormat="1" applyFont="1" applyFill="1" applyBorder="1" applyAlignment="1">
      <alignment horizontal="right"/>
    </xf>
    <xf numFmtId="0" fontId="2" fillId="2" borderId="46" xfId="0" applyFont="1" applyFill="1" applyBorder="1"/>
    <xf numFmtId="0" fontId="13" fillId="2" borderId="46" xfId="0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2" fontId="2" fillId="2" borderId="46" xfId="0" applyNumberFormat="1" applyFont="1" applyFill="1" applyBorder="1" applyAlignment="1">
      <alignment horizontal="center"/>
    </xf>
    <xf numFmtId="0" fontId="2" fillId="2" borderId="50" xfId="0" applyFont="1" applyFill="1" applyBorder="1"/>
    <xf numFmtId="0" fontId="13" fillId="2" borderId="50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5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2" fillId="2" borderId="2" xfId="0" applyFont="1" applyFill="1" applyBorder="1"/>
    <xf numFmtId="2" fontId="2" fillId="2" borderId="3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2" fontId="2" fillId="2" borderId="3" xfId="0" quotePrefix="1" applyNumberFormat="1" applyFont="1" applyFill="1" applyBorder="1" applyAlignment="1">
      <alignment horizontal="center"/>
    </xf>
    <xf numFmtId="39" fontId="0" fillId="0" borderId="38" xfId="0" applyNumberFormat="1" applyBorder="1" applyAlignment="1">
      <alignment horizontal="right"/>
    </xf>
    <xf numFmtId="39" fontId="0" fillId="0" borderId="10" xfId="0" applyNumberFormat="1" applyBorder="1" applyAlignment="1">
      <alignment horizontal="right"/>
    </xf>
    <xf numFmtId="39" fontId="0" fillId="0" borderId="1" xfId="0" applyNumberFormat="1" applyBorder="1" applyAlignment="1">
      <alignment horizontal="right"/>
    </xf>
    <xf numFmtId="39" fontId="0" fillId="0" borderId="3" xfId="0" applyNumberFormat="1" applyBorder="1" applyAlignment="1">
      <alignment horizontal="right"/>
    </xf>
    <xf numFmtId="39" fontId="0" fillId="0" borderId="40" xfId="0" applyNumberFormat="1" applyBorder="1" applyAlignment="1">
      <alignment horizontal="right"/>
    </xf>
    <xf numFmtId="39" fontId="0" fillId="0" borderId="14" xfId="0" applyNumberFormat="1" applyBorder="1" applyAlignment="1">
      <alignment horizontal="right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12" fillId="0" borderId="2" xfId="0" applyFont="1" applyBorder="1"/>
    <xf numFmtId="0" fontId="2" fillId="0" borderId="2" xfId="0" applyFont="1" applyBorder="1"/>
    <xf numFmtId="4" fontId="0" fillId="0" borderId="28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11" fillId="0" borderId="50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4" fontId="2" fillId="0" borderId="55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2" fillId="2" borderId="19" xfId="0" applyFont="1" applyFill="1" applyBorder="1"/>
    <xf numFmtId="0" fontId="12" fillId="2" borderId="46" xfId="0" applyFont="1" applyFill="1" applyBorder="1" applyAlignment="1">
      <alignment horizontal="center"/>
    </xf>
    <xf numFmtId="2" fontId="12" fillId="2" borderId="21" xfId="0" applyNumberFormat="1" applyFont="1" applyFill="1" applyBorder="1" applyAlignment="1">
      <alignment horizontal="center"/>
    </xf>
    <xf numFmtId="0" fontId="12" fillId="2" borderId="22" xfId="0" applyFont="1" applyFill="1" applyBorder="1"/>
    <xf numFmtId="0" fontId="12" fillId="2" borderId="48" xfId="0" applyFont="1" applyFill="1" applyBorder="1" applyAlignment="1">
      <alignment horizontal="center"/>
    </xf>
    <xf numFmtId="2" fontId="12" fillId="2" borderId="6" xfId="0" applyNumberFormat="1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2" fontId="11" fillId="0" borderId="0" xfId="0" applyNumberFormat="1" applyFont="1"/>
    <xf numFmtId="0" fontId="0" fillId="0" borderId="40" xfId="0" applyBorder="1"/>
    <xf numFmtId="0" fontId="2" fillId="0" borderId="19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60" xfId="0" applyFont="1" applyBorder="1"/>
    <xf numFmtId="4" fontId="2" fillId="0" borderId="48" xfId="0" applyNumberFormat="1" applyFont="1" applyBorder="1"/>
    <xf numFmtId="0" fontId="12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2" fillId="0" borderId="9" xfId="0" applyFont="1" applyBorder="1"/>
    <xf numFmtId="0" fontId="2" fillId="0" borderId="38" xfId="0" applyFont="1" applyBorder="1"/>
    <xf numFmtId="0" fontId="2" fillId="0" borderId="10" xfId="0" applyFont="1" applyBorder="1"/>
    <xf numFmtId="0" fontId="11" fillId="0" borderId="7" xfId="0" applyFont="1" applyBorder="1" applyAlignment="1">
      <alignment horizontal="left" indent="1"/>
    </xf>
    <xf numFmtId="0" fontId="11" fillId="0" borderId="2" xfId="0" applyFont="1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12" fillId="0" borderId="9" xfId="0" applyFont="1" applyBorder="1" applyAlignment="1">
      <alignment horizontal="left"/>
    </xf>
    <xf numFmtId="0" fontId="0" fillId="0" borderId="7" xfId="0" applyBorder="1" applyAlignment="1">
      <alignment horizontal="left" indent="3"/>
    </xf>
    <xf numFmtId="0" fontId="2" fillId="0" borderId="11" xfId="0" applyFont="1" applyBorder="1"/>
    <xf numFmtId="0" fontId="0" fillId="0" borderId="41" xfId="0" applyBorder="1"/>
    <xf numFmtId="0" fontId="2" fillId="2" borderId="47" xfId="0" applyFont="1" applyFill="1" applyBorder="1"/>
    <xf numFmtId="0" fontId="2" fillId="2" borderId="49" xfId="0" applyFont="1" applyFill="1" applyBorder="1"/>
    <xf numFmtId="0" fontId="12" fillId="2" borderId="15" xfId="0" applyFont="1" applyFill="1" applyBorder="1" applyAlignment="1">
      <alignment horizontal="left"/>
    </xf>
    <xf numFmtId="0" fontId="0" fillId="2" borderId="49" xfId="0" applyFill="1" applyBorder="1"/>
    <xf numFmtId="0" fontId="2" fillId="2" borderId="15" xfId="0" applyFont="1" applyFill="1" applyBorder="1" applyAlignment="1">
      <alignment horizontal="left" indent="1"/>
    </xf>
    <xf numFmtId="0" fontId="2" fillId="2" borderId="15" xfId="0" applyFont="1" applyFill="1" applyBorder="1" applyAlignment="1">
      <alignment horizontal="left"/>
    </xf>
    <xf numFmtId="0" fontId="2" fillId="2" borderId="60" xfId="0" applyFont="1" applyFill="1" applyBorder="1" applyAlignment="1">
      <alignment horizontal="left"/>
    </xf>
    <xf numFmtId="0" fontId="2" fillId="0" borderId="45" xfId="0" applyFont="1" applyBorder="1"/>
    <xf numFmtId="0" fontId="2" fillId="2" borderId="48" xfId="0" applyFont="1" applyFill="1" applyBorder="1"/>
    <xf numFmtId="3" fontId="0" fillId="0" borderId="0" xfId="0" applyNumberFormat="1"/>
    <xf numFmtId="0" fontId="11" fillId="0" borderId="23" xfId="0" applyFont="1" applyBorder="1" applyAlignment="1">
      <alignment horizontal="left" indent="1"/>
    </xf>
    <xf numFmtId="0" fontId="4" fillId="4" borderId="20" xfId="0" applyFont="1" applyFill="1" applyBorder="1"/>
    <xf numFmtId="0" fontId="5" fillId="4" borderId="20" xfId="0" applyFont="1" applyFill="1" applyBorder="1"/>
    <xf numFmtId="0" fontId="5" fillId="4" borderId="20" xfId="0" quotePrefix="1" applyFont="1" applyFill="1" applyBorder="1"/>
    <xf numFmtId="3" fontId="2" fillId="0" borderId="45" xfId="0" applyNumberFormat="1" applyFont="1" applyBorder="1"/>
    <xf numFmtId="3" fontId="2" fillId="0" borderId="16" xfId="0" applyNumberFormat="1" applyFont="1" applyBorder="1"/>
    <xf numFmtId="39" fontId="0" fillId="0" borderId="50" xfId="0" applyNumberFormat="1" applyBorder="1"/>
    <xf numFmtId="39" fontId="0" fillId="0" borderId="38" xfId="0" applyNumberFormat="1" applyBorder="1"/>
    <xf numFmtId="39" fontId="0" fillId="0" borderId="1" xfId="0" applyNumberFormat="1" applyBorder="1"/>
    <xf numFmtId="0" fontId="2" fillId="0" borderId="61" xfId="0" applyFont="1" applyBorder="1"/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left"/>
    </xf>
    <xf numFmtId="39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3" fontId="0" fillId="0" borderId="39" xfId="0" applyNumberFormat="1" applyBorder="1"/>
    <xf numFmtId="39" fontId="0" fillId="0" borderId="39" xfId="0" applyNumberFormat="1" applyBorder="1"/>
    <xf numFmtId="0" fontId="0" fillId="0" borderId="39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11" fillId="0" borderId="39" xfId="0" applyFont="1" applyBorder="1" applyAlignment="1">
      <alignment horizontal="left" indent="2"/>
    </xf>
    <xf numFmtId="0" fontId="11" fillId="0" borderId="50" xfId="0" applyFont="1" applyBorder="1" applyAlignment="1">
      <alignment horizontal="left" indent="2"/>
    </xf>
    <xf numFmtId="0" fontId="0" fillId="0" borderId="50" xfId="0" applyBorder="1" applyAlignment="1">
      <alignment horizontal="left" indent="2"/>
    </xf>
    <xf numFmtId="0" fontId="6" fillId="0" borderId="50" xfId="0" applyFont="1" applyBorder="1" applyAlignment="1">
      <alignment horizontal="left" indent="2"/>
    </xf>
    <xf numFmtId="0" fontId="0" fillId="0" borderId="39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39" fontId="0" fillId="0" borderId="62" xfId="0" applyNumberFormat="1" applyBorder="1"/>
    <xf numFmtId="0" fontId="6" fillId="0" borderId="39" xfId="0" applyFont="1" applyBorder="1" applyAlignment="1">
      <alignment horizontal="left" indent="1"/>
    </xf>
    <xf numFmtId="39" fontId="2" fillId="0" borderId="0" xfId="0" applyNumberFormat="1" applyFont="1"/>
    <xf numFmtId="39" fontId="2" fillId="0" borderId="45" xfId="0" applyNumberFormat="1" applyFont="1" applyBorder="1"/>
    <xf numFmtId="39" fontId="2" fillId="0" borderId="16" xfId="0" applyNumberFormat="1" applyFont="1" applyBorder="1"/>
    <xf numFmtId="39" fontId="2" fillId="0" borderId="62" xfId="0" applyNumberFormat="1" applyFont="1" applyBorder="1"/>
    <xf numFmtId="39" fontId="0" fillId="0" borderId="23" xfId="0" applyNumberFormat="1" applyBorder="1"/>
    <xf numFmtId="0" fontId="2" fillId="0" borderId="39" xfId="0" applyFont="1" applyBorder="1"/>
    <xf numFmtId="39" fontId="0" fillId="0" borderId="41" xfId="0" applyNumberFormat="1" applyBorder="1"/>
    <xf numFmtId="39" fontId="0" fillId="0" borderId="12" xfId="0" applyNumberFormat="1" applyBorder="1"/>
    <xf numFmtId="39" fontId="2" fillId="0" borderId="40" xfId="0" applyNumberFormat="1" applyFont="1" applyBorder="1"/>
    <xf numFmtId="39" fontId="0" fillId="0" borderId="14" xfId="0" applyNumberFormat="1" applyBorder="1"/>
    <xf numFmtId="0" fontId="2" fillId="0" borderId="0" xfId="0" applyFont="1" applyAlignment="1">
      <alignment horizontal="right"/>
    </xf>
    <xf numFmtId="39" fontId="2" fillId="0" borderId="14" xfId="0" applyNumberFormat="1" applyFont="1" applyBorder="1"/>
    <xf numFmtId="0" fontId="2" fillId="0" borderId="50" xfId="0" applyFont="1" applyBorder="1"/>
    <xf numFmtId="39" fontId="0" fillId="0" borderId="45" xfId="0" applyNumberFormat="1" applyBorder="1"/>
    <xf numFmtId="39" fontId="0" fillId="0" borderId="16" xfId="0" applyNumberFormat="1" applyBorder="1"/>
    <xf numFmtId="39" fontId="0" fillId="0" borderId="40" xfId="0" applyNumberFormat="1" applyBorder="1"/>
    <xf numFmtId="0" fontId="2" fillId="0" borderId="36" xfId="0" applyFont="1" applyBorder="1"/>
    <xf numFmtId="0" fontId="2" fillId="0" borderId="18" xfId="0" applyFont="1" applyBorder="1"/>
    <xf numFmtId="4" fontId="0" fillId="2" borderId="1" xfId="0" applyNumberFormat="1" applyFill="1" applyBorder="1"/>
    <xf numFmtId="4" fontId="4" fillId="4" borderId="20" xfId="0" applyNumberFormat="1" applyFont="1" applyFill="1" applyBorder="1"/>
    <xf numFmtId="4" fontId="2" fillId="2" borderId="47" xfId="0" applyNumberFormat="1" applyFont="1" applyFill="1" applyBorder="1"/>
    <xf numFmtId="4" fontId="0" fillId="2" borderId="51" xfId="0" applyNumberFormat="1" applyFill="1" applyBorder="1"/>
    <xf numFmtId="4" fontId="0" fillId="0" borderId="41" xfId="0" applyNumberFormat="1" applyBorder="1"/>
    <xf numFmtId="4" fontId="2" fillId="2" borderId="48" xfId="0" applyNumberFormat="1" applyFont="1" applyFill="1" applyBorder="1"/>
    <xf numFmtId="0" fontId="11" fillId="0" borderId="56" xfId="0" applyFont="1" applyBorder="1" applyAlignment="1">
      <alignment horizontal="left" indent="2"/>
    </xf>
    <xf numFmtId="0" fontId="6" fillId="0" borderId="56" xfId="0" applyFont="1" applyBorder="1" applyAlignment="1">
      <alignment horizontal="left" indent="2"/>
    </xf>
    <xf numFmtId="0" fontId="0" fillId="0" borderId="56" xfId="0" applyBorder="1" applyAlignment="1">
      <alignment horizontal="left" indent="2"/>
    </xf>
    <xf numFmtId="39" fontId="0" fillId="0" borderId="63" xfId="0" applyNumberFormat="1" applyBorder="1"/>
    <xf numFmtId="0" fontId="11" fillId="0" borderId="55" xfId="0" applyFont="1" applyBorder="1" applyAlignment="1">
      <alignment horizontal="left" indent="2"/>
    </xf>
    <xf numFmtId="0" fontId="0" fillId="0" borderId="57" xfId="0" applyBorder="1" applyAlignment="1">
      <alignment horizontal="left" indent="2"/>
    </xf>
    <xf numFmtId="39" fontId="0" fillId="0" borderId="64" xfId="0" applyNumberFormat="1" applyBorder="1"/>
    <xf numFmtId="39" fontId="0" fillId="0" borderId="65" xfId="0" applyNumberFormat="1" applyBorder="1"/>
    <xf numFmtId="165" fontId="2" fillId="2" borderId="12" xfId="1" applyNumberFormat="1" applyFont="1" applyFill="1" applyBorder="1"/>
    <xf numFmtId="165" fontId="2" fillId="2" borderId="3" xfId="1" applyNumberFormat="1" applyFont="1" applyFill="1" applyBorder="1"/>
    <xf numFmtId="165" fontId="2" fillId="2" borderId="14" xfId="1" applyNumberFormat="1" applyFont="1" applyFill="1" applyBorder="1"/>
    <xf numFmtId="165" fontId="0" fillId="2" borderId="16" xfId="1" applyNumberFormat="1" applyFont="1" applyFill="1" applyBorder="1"/>
    <xf numFmtId="0" fontId="1" fillId="0" borderId="0" xfId="0" applyFont="1"/>
    <xf numFmtId="164" fontId="0" fillId="0" borderId="40" xfId="1" applyFont="1" applyBorder="1"/>
    <xf numFmtId="164" fontId="0" fillId="0" borderId="14" xfId="1" applyFont="1" applyBorder="1"/>
    <xf numFmtId="164" fontId="0" fillId="0" borderId="1" xfId="1" applyFont="1" applyBorder="1"/>
    <xf numFmtId="0" fontId="2" fillId="5" borderId="1" xfId="0" applyFont="1" applyFill="1" applyBorder="1"/>
    <xf numFmtId="164" fontId="0" fillId="0" borderId="42" xfId="1" applyFont="1" applyBorder="1"/>
    <xf numFmtId="0" fontId="2" fillId="2" borderId="2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10" fillId="6" borderId="0" xfId="0" applyNumberFormat="1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0" fillId="0" borderId="0" xfId="1" applyFont="1"/>
    <xf numFmtId="0" fontId="9" fillId="6" borderId="11" xfId="0" applyFont="1" applyFill="1" applyBorder="1" applyAlignment="1">
      <alignment horizontal="center"/>
    </xf>
    <xf numFmtId="2" fontId="2" fillId="6" borderId="41" xfId="0" applyNumberFormat="1" applyFont="1" applyFill="1" applyBorder="1" applyAlignment="1">
      <alignment horizontal="center"/>
    </xf>
    <xf numFmtId="2" fontId="2" fillId="6" borderId="12" xfId="0" applyNumberFormat="1" applyFont="1" applyFill="1" applyBorder="1" applyAlignment="1">
      <alignment horizontal="center"/>
    </xf>
    <xf numFmtId="4" fontId="0" fillId="7" borderId="1" xfId="0" applyNumberFormat="1" applyFill="1" applyBorder="1" applyAlignment="1">
      <alignment horizontal="right"/>
    </xf>
    <xf numFmtId="0" fontId="2" fillId="8" borderId="1" xfId="0" applyFont="1" applyFill="1" applyBorder="1"/>
    <xf numFmtId="4" fontId="0" fillId="8" borderId="1" xfId="0" applyNumberFormat="1" applyFill="1" applyBorder="1" applyAlignment="1">
      <alignment horizontal="right"/>
    </xf>
    <xf numFmtId="0" fontId="2" fillId="8" borderId="39" xfId="0" applyFont="1" applyFill="1" applyBorder="1"/>
    <xf numFmtId="4" fontId="0" fillId="8" borderId="39" xfId="0" applyNumberFormat="1" applyFill="1" applyBorder="1" applyAlignment="1">
      <alignment horizontal="right"/>
    </xf>
    <xf numFmtId="0" fontId="2" fillId="9" borderId="1" xfId="0" applyFont="1" applyFill="1" applyBorder="1"/>
    <xf numFmtId="4" fontId="0" fillId="9" borderId="1" xfId="0" applyNumberFormat="1" applyFill="1" applyBorder="1" applyAlignment="1">
      <alignment horizontal="right"/>
    </xf>
    <xf numFmtId="1" fontId="2" fillId="9" borderId="1" xfId="0" applyNumberFormat="1" applyFont="1" applyFill="1" applyBorder="1"/>
    <xf numFmtId="0" fontId="2" fillId="9" borderId="39" xfId="0" applyFont="1" applyFill="1" applyBorder="1"/>
    <xf numFmtId="4" fontId="0" fillId="9" borderId="39" xfId="0" applyNumberFormat="1" applyFill="1" applyBorder="1" applyAlignment="1">
      <alignment horizontal="right"/>
    </xf>
    <xf numFmtId="0" fontId="0" fillId="9" borderId="38" xfId="0" applyFill="1" applyBorder="1"/>
    <xf numFmtId="0" fontId="0" fillId="9" borderId="1" xfId="0" applyFill="1" applyBorder="1"/>
    <xf numFmtId="0" fontId="0" fillId="9" borderId="39" xfId="0" applyFill="1" applyBorder="1"/>
    <xf numFmtId="165" fontId="0" fillId="9" borderId="3" xfId="1" applyNumberFormat="1" applyFont="1" applyFill="1" applyBorder="1"/>
    <xf numFmtId="165" fontId="0" fillId="9" borderId="8" xfId="1" applyNumberFormat="1" applyFont="1" applyFill="1" applyBorder="1"/>
    <xf numFmtId="165" fontId="0" fillId="9" borderId="10" xfId="1" applyNumberFormat="1" applyFont="1" applyFill="1" applyBorder="1"/>
    <xf numFmtId="165" fontId="0" fillId="9" borderId="12" xfId="1" applyNumberFormat="1" applyFont="1" applyFill="1" applyBorder="1"/>
    <xf numFmtId="0" fontId="1" fillId="9" borderId="0" xfId="0" applyFont="1" applyFill="1" applyAlignment="1">
      <alignment horizontal="right"/>
    </xf>
    <xf numFmtId="0" fontId="0" fillId="9" borderId="0" xfId="0" applyFill="1" applyAlignment="1">
      <alignment horizontal="right"/>
    </xf>
    <xf numFmtId="0" fontId="2" fillId="2" borderId="66" xfId="0" applyFont="1" applyFill="1" applyBorder="1"/>
    <xf numFmtId="0" fontId="2" fillId="2" borderId="67" xfId="0" applyFont="1" applyFill="1" applyBorder="1"/>
    <xf numFmtId="0" fontId="0" fillId="0" borderId="65" xfId="0" applyBorder="1" applyAlignment="1">
      <alignment horizontal="left" indent="1"/>
    </xf>
    <xf numFmtId="0" fontId="2" fillId="2" borderId="58" xfId="0" applyFont="1" applyFill="1" applyBorder="1" applyAlignment="1">
      <alignment horizontal="center"/>
    </xf>
    <xf numFmtId="0" fontId="2" fillId="2" borderId="64" xfId="0" applyFont="1" applyFill="1" applyBorder="1"/>
    <xf numFmtId="0" fontId="0" fillId="10" borderId="42" xfId="0" applyFill="1" applyBorder="1" applyAlignment="1">
      <alignment horizontal="left" indent="1"/>
    </xf>
    <xf numFmtId="0" fontId="0" fillId="10" borderId="64" xfId="0" applyFill="1" applyBorder="1" applyAlignment="1">
      <alignment horizontal="left" indent="1"/>
    </xf>
    <xf numFmtId="0" fontId="0" fillId="10" borderId="65" xfId="0" applyFill="1" applyBorder="1" applyAlignment="1">
      <alignment horizontal="left" indent="1"/>
    </xf>
    <xf numFmtId="0" fontId="6" fillId="10" borderId="58" xfId="0" applyFont="1" applyFill="1" applyBorder="1" applyAlignment="1">
      <alignment horizontal="left" indent="1"/>
    </xf>
    <xf numFmtId="0" fontId="6" fillId="10" borderId="42" xfId="0" applyFont="1" applyFill="1" applyBorder="1" applyAlignment="1">
      <alignment horizontal="left" indent="1"/>
    </xf>
    <xf numFmtId="0" fontId="0" fillId="10" borderId="58" xfId="0" applyFill="1" applyBorder="1" applyAlignment="1">
      <alignment horizontal="left" indent="1"/>
    </xf>
    <xf numFmtId="0" fontId="0" fillId="10" borderId="58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10" borderId="65" xfId="0" applyFill="1" applyBorder="1" applyAlignment="1">
      <alignment horizontal="center"/>
    </xf>
    <xf numFmtId="0" fontId="0" fillId="10" borderId="0" xfId="0" applyFill="1" applyAlignment="1">
      <alignment horizontal="center"/>
    </xf>
    <xf numFmtId="4" fontId="0" fillId="8" borderId="38" xfId="0" applyNumberFormat="1" applyFill="1" applyBorder="1" applyAlignment="1">
      <alignment horizontal="right"/>
    </xf>
    <xf numFmtId="0" fontId="2" fillId="8" borderId="38" xfId="0" applyFont="1" applyFill="1" applyBorder="1"/>
    <xf numFmtId="0" fontId="2" fillId="8" borderId="41" xfId="0" applyFont="1" applyFill="1" applyBorder="1" applyAlignment="1">
      <alignment horizontal="right"/>
    </xf>
    <xf numFmtId="4" fontId="6" fillId="8" borderId="41" xfId="0" applyNumberFormat="1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4" fontId="6" fillId="8" borderId="1" xfId="0" applyNumberFormat="1" applyFont="1" applyFill="1" applyBorder="1" applyAlignment="1">
      <alignment horizontal="right"/>
    </xf>
    <xf numFmtId="4" fontId="6" fillId="8" borderId="39" xfId="0" applyNumberFormat="1" applyFont="1" applyFill="1" applyBorder="1" applyAlignment="1">
      <alignment horizontal="right"/>
    </xf>
    <xf numFmtId="0" fontId="2" fillId="8" borderId="39" xfId="0" applyFont="1" applyFill="1" applyBorder="1" applyAlignment="1">
      <alignment horizontal="right"/>
    </xf>
    <xf numFmtId="0" fontId="2" fillId="8" borderId="40" xfId="0" applyFont="1" applyFill="1" applyBorder="1" applyAlignment="1">
      <alignment horizontal="right"/>
    </xf>
    <xf numFmtId="4" fontId="0" fillId="8" borderId="40" xfId="0" applyNumberFormat="1" applyFill="1" applyBorder="1" applyAlignment="1">
      <alignment horizontal="right"/>
    </xf>
    <xf numFmtId="0" fontId="2" fillId="8" borderId="38" xfId="0" applyFont="1" applyFill="1" applyBorder="1" applyAlignment="1">
      <alignment horizontal="right"/>
    </xf>
    <xf numFmtId="4" fontId="0" fillId="8" borderId="41" xfId="0" applyNumberFormat="1" applyFill="1" applyBorder="1" applyAlignment="1">
      <alignment horizontal="right"/>
    </xf>
    <xf numFmtId="0" fontId="2" fillId="8" borderId="41" xfId="0" applyFont="1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8" borderId="39" xfId="0" applyFill="1" applyBorder="1" applyAlignment="1">
      <alignment horizontal="right"/>
    </xf>
    <xf numFmtId="0" fontId="2" fillId="8" borderId="50" xfId="0" applyFont="1" applyFill="1" applyBorder="1" applyAlignment="1">
      <alignment horizontal="right"/>
    </xf>
    <xf numFmtId="4" fontId="0" fillId="8" borderId="50" xfId="0" applyNumberFormat="1" applyFill="1" applyBorder="1" applyAlignment="1">
      <alignment horizontal="right"/>
    </xf>
    <xf numFmtId="0" fontId="0" fillId="8" borderId="38" xfId="0" applyFill="1" applyBorder="1" applyAlignment="1">
      <alignment horizontal="right"/>
    </xf>
    <xf numFmtId="0" fontId="0" fillId="8" borderId="50" xfId="0" applyFill="1" applyBorder="1" applyAlignment="1">
      <alignment horizontal="center"/>
    </xf>
    <xf numFmtId="0" fontId="0" fillId="8" borderId="50" xfId="0" applyFill="1" applyBorder="1" applyAlignment="1">
      <alignment horizontal="right"/>
    </xf>
    <xf numFmtId="0" fontId="0" fillId="8" borderId="38" xfId="0" applyFill="1" applyBorder="1" applyAlignment="1">
      <alignment horizontal="center"/>
    </xf>
    <xf numFmtId="4" fontId="0" fillId="8" borderId="27" xfId="0" applyNumberFormat="1" applyFill="1" applyBorder="1" applyAlignment="1">
      <alignment horizontal="right"/>
    </xf>
    <xf numFmtId="2" fontId="0" fillId="8" borderId="41" xfId="0" applyNumberFormat="1" applyFill="1" applyBorder="1" applyAlignment="1">
      <alignment horizontal="right"/>
    </xf>
    <xf numFmtId="4" fontId="0" fillId="8" borderId="24" xfId="0" applyNumberFormat="1" applyFill="1" applyBorder="1" applyAlignment="1">
      <alignment horizontal="right"/>
    </xf>
    <xf numFmtId="2" fontId="0" fillId="8" borderId="1" xfId="0" applyNumberFormat="1" applyFill="1" applyBorder="1" applyAlignment="1">
      <alignment horizontal="right"/>
    </xf>
    <xf numFmtId="0" fontId="0" fillId="8" borderId="40" xfId="0" applyFill="1" applyBorder="1" applyAlignment="1">
      <alignment horizontal="center"/>
    </xf>
    <xf numFmtId="0" fontId="0" fillId="8" borderId="40" xfId="0" applyFill="1" applyBorder="1" applyAlignment="1">
      <alignment horizontal="right"/>
    </xf>
    <xf numFmtId="4" fontId="0" fillId="8" borderId="34" xfId="0" applyNumberFormat="1" applyFill="1" applyBorder="1" applyAlignment="1">
      <alignment horizontal="right"/>
    </xf>
    <xf numFmtId="2" fontId="0" fillId="8" borderId="48" xfId="0" applyNumberFormat="1" applyFill="1" applyBorder="1" applyAlignment="1">
      <alignment horizontal="right"/>
    </xf>
    <xf numFmtId="2" fontId="0" fillId="8" borderId="40" xfId="0" applyNumberFormat="1" applyFill="1" applyBorder="1" applyAlignment="1">
      <alignment horizontal="right"/>
    </xf>
    <xf numFmtId="0" fontId="2" fillId="0" borderId="43" xfId="0" applyFont="1" applyBorder="1"/>
    <xf numFmtId="0" fontId="0" fillId="11" borderId="50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39" xfId="0" applyFill="1" applyBorder="1" applyAlignment="1">
      <alignment horizontal="right"/>
    </xf>
    <xf numFmtId="0" fontId="2" fillId="8" borderId="38" xfId="0" applyFont="1" applyFill="1" applyBorder="1" applyAlignment="1">
      <alignment horizontal="center"/>
    </xf>
    <xf numFmtId="1" fontId="0" fillId="8" borderId="38" xfId="0" applyNumberFormat="1" applyFill="1" applyBorder="1" applyAlignment="1">
      <alignment horizontal="right"/>
    </xf>
    <xf numFmtId="1" fontId="0" fillId="8" borderId="1" xfId="0" applyNumberFormat="1" applyFill="1" applyBorder="1" applyAlignment="1">
      <alignment horizontal="right"/>
    </xf>
    <xf numFmtId="0" fontId="2" fillId="8" borderId="40" xfId="0" applyFont="1" applyFill="1" applyBorder="1" applyAlignment="1">
      <alignment horizontal="center"/>
    </xf>
    <xf numFmtId="1" fontId="0" fillId="8" borderId="40" xfId="0" applyNumberFormat="1" applyFill="1" applyBorder="1" applyAlignment="1">
      <alignment horizontal="right"/>
    </xf>
    <xf numFmtId="4" fontId="11" fillId="7" borderId="50" xfId="0" applyNumberFormat="1" applyFont="1" applyFill="1" applyBorder="1" applyAlignment="1">
      <alignment horizontal="right"/>
    </xf>
    <xf numFmtId="4" fontId="11" fillId="7" borderId="5" xfId="0" applyNumberFormat="1" applyFont="1" applyFill="1" applyBorder="1" applyAlignment="1">
      <alignment horizontal="right"/>
    </xf>
    <xf numFmtId="4" fontId="11" fillId="7" borderId="38" xfId="0" applyNumberFormat="1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horizontal="right"/>
    </xf>
    <xf numFmtId="4" fontId="11" fillId="7" borderId="3" xfId="0" applyNumberFormat="1" applyFont="1" applyFill="1" applyBorder="1" applyAlignment="1">
      <alignment horizontal="right"/>
    </xf>
    <xf numFmtId="4" fontId="11" fillId="7" borderId="40" xfId="0" applyNumberFormat="1" applyFont="1" applyFill="1" applyBorder="1" applyAlignment="1">
      <alignment horizontal="right"/>
    </xf>
    <xf numFmtId="4" fontId="11" fillId="7" borderId="14" xfId="0" applyNumberFormat="1" applyFont="1" applyFill="1" applyBorder="1" applyAlignment="1">
      <alignment horizontal="right"/>
    </xf>
    <xf numFmtId="4" fontId="0" fillId="7" borderId="56" xfId="0" applyNumberFormat="1" applyFill="1" applyBorder="1" applyAlignment="1">
      <alignment horizontal="right"/>
    </xf>
    <xf numFmtId="4" fontId="6" fillId="7" borderId="51" xfId="0" applyNumberFormat="1" applyFont="1" applyFill="1" applyBorder="1" applyAlignment="1">
      <alignment horizontal="right"/>
    </xf>
    <xf numFmtId="4" fontId="0" fillId="7" borderId="57" xfId="0" applyNumberFormat="1" applyFill="1" applyBorder="1" applyAlignment="1">
      <alignment horizontal="right"/>
    </xf>
    <xf numFmtId="4" fontId="6" fillId="7" borderId="10" xfId="0" applyNumberFormat="1" applyFont="1" applyFill="1" applyBorder="1" applyAlignment="1">
      <alignment horizontal="right"/>
    </xf>
    <xf numFmtId="4" fontId="0" fillId="7" borderId="50" xfId="0" applyNumberFormat="1" applyFill="1" applyBorder="1" applyAlignment="1">
      <alignment horizontal="right"/>
    </xf>
    <xf numFmtId="4" fontId="0" fillId="7" borderId="48" xfId="0" applyNumberFormat="1" applyFill="1" applyBorder="1" applyAlignment="1">
      <alignment horizontal="right"/>
    </xf>
    <xf numFmtId="4" fontId="6" fillId="7" borderId="49" xfId="0" applyNumberFormat="1" applyFont="1" applyFill="1" applyBorder="1" applyAlignment="1">
      <alignment horizontal="right"/>
    </xf>
    <xf numFmtId="4" fontId="0" fillId="7" borderId="54" xfId="0" applyNumberFormat="1" applyFill="1" applyBorder="1" applyAlignment="1">
      <alignment horizontal="right"/>
    </xf>
    <xf numFmtId="4" fontId="0" fillId="7" borderId="6" xfId="0" applyNumberFormat="1" applyFill="1" applyBorder="1" applyAlignment="1">
      <alignment horizontal="right"/>
    </xf>
    <xf numFmtId="4" fontId="0" fillId="7" borderId="0" xfId="0" applyNumberFormat="1" applyFill="1"/>
    <xf numFmtId="0" fontId="0" fillId="8" borderId="1" xfId="0" applyFill="1" applyBorder="1"/>
    <xf numFmtId="0" fontId="0" fillId="8" borderId="3" xfId="0" applyFill="1" applyBorder="1"/>
    <xf numFmtId="0" fontId="0" fillId="8" borderId="39" xfId="0" applyFill="1" applyBorder="1"/>
    <xf numFmtId="0" fontId="0" fillId="8" borderId="8" xfId="0" applyFill="1" applyBorder="1"/>
    <xf numFmtId="4" fontId="0" fillId="8" borderId="1" xfId="0" applyNumberFormat="1" applyFill="1" applyBorder="1"/>
    <xf numFmtId="4" fontId="0" fillId="6" borderId="1" xfId="0" applyNumberFormat="1" applyFill="1" applyBorder="1"/>
    <xf numFmtId="4" fontId="0" fillId="6" borderId="39" xfId="0" applyNumberFormat="1" applyFill="1" applyBorder="1"/>
    <xf numFmtId="4" fontId="0" fillId="6" borderId="40" xfId="0" applyNumberFormat="1" applyFill="1" applyBorder="1"/>
    <xf numFmtId="0" fontId="0" fillId="8" borderId="40" xfId="0" applyFill="1" applyBorder="1"/>
    <xf numFmtId="0" fontId="0" fillId="8" borderId="14" xfId="0" applyFill="1" applyBorder="1"/>
    <xf numFmtId="4" fontId="11" fillId="7" borderId="50" xfId="0" quotePrefix="1" applyNumberFormat="1" applyFont="1" applyFill="1" applyBorder="1" applyAlignment="1">
      <alignment horizontal="right"/>
    </xf>
    <xf numFmtId="0" fontId="1" fillId="0" borderId="0" xfId="0" quotePrefix="1" applyFont="1"/>
    <xf numFmtId="164" fontId="0" fillId="8" borderId="38" xfId="1" applyFont="1" applyFill="1" applyBorder="1"/>
    <xf numFmtId="164" fontId="0" fillId="8" borderId="1" xfId="1" applyFont="1" applyFill="1" applyBorder="1"/>
    <xf numFmtId="164" fontId="0" fillId="8" borderId="3" xfId="1" applyFont="1" applyFill="1" applyBorder="1"/>
    <xf numFmtId="164" fontId="0" fillId="8" borderId="39" xfId="1" applyFont="1" applyFill="1" applyBorder="1"/>
    <xf numFmtId="164" fontId="0" fillId="8" borderId="8" xfId="1" applyFont="1" applyFill="1" applyBorder="1"/>
    <xf numFmtId="4" fontId="0" fillId="11" borderId="41" xfId="0" applyNumberFormat="1" applyFill="1" applyBorder="1" applyAlignment="1">
      <alignment horizontal="right"/>
    </xf>
    <xf numFmtId="4" fontId="0" fillId="11" borderId="28" xfId="0" applyNumberFormat="1" applyFill="1" applyBorder="1" applyAlignment="1">
      <alignment horizontal="right"/>
    </xf>
    <xf numFmtId="4" fontId="0" fillId="11" borderId="40" xfId="0" applyNumberFormat="1" applyFill="1" applyBorder="1" applyAlignment="1">
      <alignment horizontal="right"/>
    </xf>
    <xf numFmtId="4" fontId="0" fillId="11" borderId="35" xfId="0" applyNumberFormat="1" applyFill="1" applyBorder="1" applyAlignment="1">
      <alignment horizontal="right"/>
    </xf>
    <xf numFmtId="2" fontId="0" fillId="8" borderId="1" xfId="0" applyNumberFormat="1" applyFill="1" applyBorder="1"/>
    <xf numFmtId="0" fontId="2" fillId="12" borderId="11" xfId="0" applyFont="1" applyFill="1" applyBorder="1"/>
    <xf numFmtId="0" fontId="2" fillId="13" borderId="37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0" fillId="8" borderId="28" xfId="0" applyFill="1" applyBorder="1" applyAlignment="1">
      <alignment horizontal="left"/>
    </xf>
    <xf numFmtId="0" fontId="0" fillId="8" borderId="30" xfId="0" applyFill="1" applyBorder="1" applyAlignment="1">
      <alignment horizontal="left"/>
    </xf>
    <xf numFmtId="0" fontId="0" fillId="8" borderId="32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35" xfId="0" applyFill="1" applyBorder="1" applyAlignment="1">
      <alignment horizontal="left"/>
    </xf>
    <xf numFmtId="0" fontId="0" fillId="8" borderId="18" xfId="0" applyFill="1" applyBorder="1" applyAlignment="1">
      <alignment horizontal="left"/>
    </xf>
    <xf numFmtId="4" fontId="2" fillId="2" borderId="59" xfId="0" applyNumberFormat="1" applyFont="1" applyFill="1" applyBorder="1" applyAlignment="1">
      <alignment horizontal="center"/>
    </xf>
    <xf numFmtId="4" fontId="2" fillId="2" borderId="27" xfId="0" applyNumberFormat="1" applyFont="1" applyFill="1" applyBorder="1" applyAlignment="1">
      <alignment horizontal="center"/>
    </xf>
    <xf numFmtId="4" fontId="2" fillId="2" borderId="58" xfId="0" applyNumberFormat="1" applyFont="1" applyFill="1" applyBorder="1" applyAlignment="1">
      <alignment horizontal="center"/>
    </xf>
    <xf numFmtId="4" fontId="2" fillId="2" borderId="44" xfId="0" applyNumberFormat="1" applyFont="1" applyFill="1" applyBorder="1" applyAlignment="1">
      <alignment horizontal="center"/>
    </xf>
    <xf numFmtId="4" fontId="2" fillId="2" borderId="42" xfId="0" applyNumberFormat="1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7"/>
  <sheetViews>
    <sheetView workbookViewId="0">
      <selection activeCell="D16" sqref="D16"/>
    </sheetView>
  </sheetViews>
  <sheetFormatPr defaultRowHeight="12.75" x14ac:dyDescent="0.2"/>
  <cols>
    <col min="1" max="1" width="1.5703125" customWidth="1"/>
    <col min="2" max="2" width="14.7109375" customWidth="1"/>
    <col min="3" max="3" width="1.28515625" customWidth="1"/>
    <col min="4" max="4" width="45.5703125" customWidth="1"/>
    <col min="6" max="6" width="10.85546875" customWidth="1"/>
    <col min="7" max="7" width="1.42578125" customWidth="1"/>
  </cols>
  <sheetData>
    <row r="1" spans="1:7" x14ac:dyDescent="0.2">
      <c r="A1" s="21"/>
      <c r="B1" s="22"/>
      <c r="C1" s="22"/>
      <c r="D1" s="22"/>
      <c r="E1" s="22"/>
      <c r="F1" s="22"/>
      <c r="G1" s="23"/>
    </row>
    <row r="2" spans="1:7" x14ac:dyDescent="0.2">
      <c r="A2" s="6"/>
      <c r="B2" s="24" t="s">
        <v>21</v>
      </c>
      <c r="C2" s="41"/>
      <c r="D2" s="41"/>
      <c r="E2" s="41"/>
      <c r="F2" s="25" t="s">
        <v>31</v>
      </c>
      <c r="G2" s="7"/>
    </row>
    <row r="3" spans="1:7" ht="13.5" thickBot="1" x14ac:dyDescent="0.25">
      <c r="A3" s="6"/>
      <c r="G3" s="7"/>
    </row>
    <row r="4" spans="1:7" x14ac:dyDescent="0.2">
      <c r="A4" s="6"/>
      <c r="B4" s="31" t="s">
        <v>23</v>
      </c>
      <c r="C4" s="32" t="s">
        <v>30</v>
      </c>
      <c r="D4" s="490"/>
      <c r="G4" s="7"/>
    </row>
    <row r="5" spans="1:7" x14ac:dyDescent="0.2">
      <c r="A5" s="6"/>
      <c r="B5" s="33" t="s">
        <v>24</v>
      </c>
      <c r="C5" s="28" t="s">
        <v>30</v>
      </c>
      <c r="D5" s="491"/>
      <c r="G5" s="7"/>
    </row>
    <row r="6" spans="1:7" x14ac:dyDescent="0.2">
      <c r="A6" s="6"/>
      <c r="B6" s="34" t="s">
        <v>25</v>
      </c>
      <c r="C6" s="29" t="s">
        <v>30</v>
      </c>
      <c r="D6" s="492"/>
      <c r="G6" s="7"/>
    </row>
    <row r="7" spans="1:7" x14ac:dyDescent="0.2">
      <c r="A7" s="6"/>
      <c r="B7" s="35" t="s">
        <v>25</v>
      </c>
      <c r="C7" s="30" t="s">
        <v>30</v>
      </c>
      <c r="D7" s="493"/>
      <c r="G7" s="7"/>
    </row>
    <row r="8" spans="1:7" x14ac:dyDescent="0.2">
      <c r="A8" s="6"/>
      <c r="B8" s="35" t="s">
        <v>25</v>
      </c>
      <c r="C8" s="30" t="s">
        <v>30</v>
      </c>
      <c r="D8" s="493"/>
      <c r="G8" s="7"/>
    </row>
    <row r="9" spans="1:7" x14ac:dyDescent="0.2">
      <c r="A9" s="6"/>
      <c r="B9" s="35" t="s">
        <v>25</v>
      </c>
      <c r="C9" s="30" t="s">
        <v>30</v>
      </c>
      <c r="D9" s="493"/>
      <c r="G9" s="7"/>
    </row>
    <row r="10" spans="1:7" ht="13.5" thickBot="1" x14ac:dyDescent="0.25">
      <c r="A10" s="6"/>
      <c r="B10" s="36" t="s">
        <v>26</v>
      </c>
      <c r="C10" s="37" t="s">
        <v>30</v>
      </c>
      <c r="D10" s="494"/>
      <c r="G10" s="7"/>
    </row>
    <row r="11" spans="1:7" ht="13.5" thickBot="1" x14ac:dyDescent="0.25">
      <c r="A11" s="6"/>
      <c r="B11" s="1"/>
      <c r="C11" s="1"/>
      <c r="G11" s="7"/>
    </row>
    <row r="12" spans="1:7" x14ac:dyDescent="0.2">
      <c r="A12" s="6"/>
      <c r="B12" s="31" t="s">
        <v>22</v>
      </c>
      <c r="C12" s="32" t="s">
        <v>30</v>
      </c>
      <c r="D12" s="490"/>
      <c r="G12" s="7"/>
    </row>
    <row r="13" spans="1:7" x14ac:dyDescent="0.2">
      <c r="A13" s="6"/>
      <c r="B13" s="33" t="s">
        <v>27</v>
      </c>
      <c r="C13" s="28" t="s">
        <v>30</v>
      </c>
      <c r="D13" s="491"/>
      <c r="G13" s="7"/>
    </row>
    <row r="14" spans="1:7" ht="13.5" thickBot="1" x14ac:dyDescent="0.25">
      <c r="A14" s="6"/>
      <c r="B14" s="38" t="s">
        <v>28</v>
      </c>
      <c r="C14" s="39" t="s">
        <v>30</v>
      </c>
      <c r="D14" s="495"/>
      <c r="G14" s="7"/>
    </row>
    <row r="15" spans="1:7" ht="13.5" thickBot="1" x14ac:dyDescent="0.25">
      <c r="A15" s="6"/>
      <c r="B15" s="1"/>
      <c r="C15" s="1"/>
      <c r="G15" s="7"/>
    </row>
    <row r="16" spans="1:7" ht="13.5" thickBot="1" x14ac:dyDescent="0.25">
      <c r="A16" s="6"/>
      <c r="B16" s="18" t="s">
        <v>29</v>
      </c>
      <c r="C16" s="40" t="s">
        <v>30</v>
      </c>
      <c r="D16" s="496"/>
      <c r="G16" s="7"/>
    </row>
    <row r="17" spans="1:7" ht="13.5" thickBot="1" x14ac:dyDescent="0.25">
      <c r="A17" s="26"/>
      <c r="B17" s="27"/>
      <c r="C17" s="27"/>
      <c r="D17" s="27"/>
      <c r="E17" s="27"/>
      <c r="F17" s="27"/>
      <c r="G17" s="8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I48"/>
  <sheetViews>
    <sheetView workbookViewId="0">
      <selection activeCell="F12" sqref="F12"/>
    </sheetView>
  </sheetViews>
  <sheetFormatPr defaultRowHeight="12.75" x14ac:dyDescent="0.2"/>
  <cols>
    <col min="1" max="1" width="1" customWidth="1"/>
    <col min="2" max="2" width="1.7109375" customWidth="1"/>
    <col min="3" max="3" width="34.140625" customWidth="1"/>
    <col min="4" max="4" width="12" style="80" customWidth="1"/>
    <col min="5" max="6" width="11.7109375" style="80" customWidth="1"/>
    <col min="7" max="7" width="13.42578125" style="86" customWidth="1"/>
    <col min="9" max="9" width="3.7109375" customWidth="1"/>
  </cols>
  <sheetData>
    <row r="1" spans="1:9" x14ac:dyDescent="0.2">
      <c r="A1" s="21"/>
      <c r="B1" s="22"/>
      <c r="C1" s="22"/>
      <c r="D1" s="213"/>
      <c r="E1" s="213"/>
      <c r="F1" s="213"/>
      <c r="G1" s="214"/>
      <c r="H1" s="214"/>
      <c r="I1" s="23"/>
    </row>
    <row r="2" spans="1:9" x14ac:dyDescent="0.2">
      <c r="A2" s="6"/>
      <c r="B2" s="24" t="s">
        <v>202</v>
      </c>
      <c r="C2" s="25"/>
      <c r="D2" s="87"/>
      <c r="E2" s="87"/>
      <c r="F2" s="87"/>
      <c r="G2" s="215"/>
      <c r="H2" s="96" t="s">
        <v>384</v>
      </c>
      <c r="I2" s="7"/>
    </row>
    <row r="3" spans="1:9" ht="13.5" thickBot="1" x14ac:dyDescent="0.25">
      <c r="A3" s="6"/>
      <c r="H3" s="86"/>
      <c r="I3" s="7"/>
    </row>
    <row r="4" spans="1:9" ht="13.5" thickBot="1" x14ac:dyDescent="0.25">
      <c r="A4" s="6"/>
      <c r="C4" s="43" t="s">
        <v>203</v>
      </c>
      <c r="I4" s="7"/>
    </row>
    <row r="5" spans="1:9" x14ac:dyDescent="0.2">
      <c r="A5" s="6"/>
      <c r="C5" s="1"/>
      <c r="I5" s="7"/>
    </row>
    <row r="6" spans="1:9" x14ac:dyDescent="0.2">
      <c r="A6" s="6"/>
      <c r="C6" s="88" t="s">
        <v>222</v>
      </c>
      <c r="D6" s="86">
        <v>3</v>
      </c>
      <c r="I6" s="7"/>
    </row>
    <row r="7" spans="1:9" x14ac:dyDescent="0.2">
      <c r="A7" s="6"/>
      <c r="C7" s="88" t="s">
        <v>207</v>
      </c>
      <c r="D7" s="228">
        <v>670000</v>
      </c>
      <c r="I7" s="7"/>
    </row>
    <row r="8" spans="1:9" ht="13.5" thickBot="1" x14ac:dyDescent="0.25">
      <c r="A8" s="6"/>
      <c r="I8" s="7"/>
    </row>
    <row r="9" spans="1:9" x14ac:dyDescent="0.2">
      <c r="A9" s="6"/>
      <c r="C9" s="123" t="s">
        <v>205</v>
      </c>
      <c r="D9" s="124" t="s">
        <v>39</v>
      </c>
      <c r="E9" s="124" t="s">
        <v>154</v>
      </c>
      <c r="F9" s="124" t="s">
        <v>40</v>
      </c>
      <c r="G9" s="132" t="s">
        <v>78</v>
      </c>
      <c r="I9" s="7"/>
    </row>
    <row r="10" spans="1:9" x14ac:dyDescent="0.2">
      <c r="A10" s="6"/>
      <c r="C10" s="218"/>
      <c r="D10" s="170"/>
      <c r="E10" s="170" t="s">
        <v>155</v>
      </c>
      <c r="F10" s="170" t="s">
        <v>157</v>
      </c>
      <c r="G10" s="219" t="str">
        <f>Curr_1</f>
        <v>USD</v>
      </c>
      <c r="I10" s="7"/>
    </row>
    <row r="11" spans="1:9" ht="13.5" thickBot="1" x14ac:dyDescent="0.25">
      <c r="A11" s="6"/>
      <c r="C11" s="14"/>
      <c r="D11" s="125"/>
      <c r="E11" s="125" t="s">
        <v>156</v>
      </c>
      <c r="F11" s="125" t="str">
        <f>"UNIT "&amp;Curr_1</f>
        <v>UNIT USD</v>
      </c>
      <c r="G11" s="134"/>
      <c r="I11" s="7"/>
    </row>
    <row r="12" spans="1:9" x14ac:dyDescent="0.2">
      <c r="A12" s="6"/>
      <c r="C12" s="10" t="s">
        <v>206</v>
      </c>
      <c r="D12" s="441" t="s">
        <v>211</v>
      </c>
      <c r="E12" s="442">
        <v>1</v>
      </c>
      <c r="F12" s="161">
        <f>(D6)</f>
        <v>3</v>
      </c>
      <c r="G12" s="162">
        <f>(F12*E12)</f>
        <v>3</v>
      </c>
      <c r="I12" s="7"/>
    </row>
    <row r="13" spans="1:9" x14ac:dyDescent="0.2">
      <c r="A13" s="6"/>
      <c r="C13" s="3" t="s">
        <v>207</v>
      </c>
      <c r="D13" s="415" t="s">
        <v>211</v>
      </c>
      <c r="E13" s="443">
        <v>700000</v>
      </c>
      <c r="F13" s="111">
        <f>($F$12)</f>
        <v>3</v>
      </c>
      <c r="G13" s="166">
        <f>(F13*E13)</f>
        <v>2100000</v>
      </c>
      <c r="I13" s="7"/>
    </row>
    <row r="14" spans="1:9" x14ac:dyDescent="0.2">
      <c r="A14" s="6"/>
      <c r="C14" s="3" t="s">
        <v>209</v>
      </c>
      <c r="D14" s="415" t="s">
        <v>211</v>
      </c>
      <c r="E14" s="443">
        <f>INT(E13/12)</f>
        <v>58333</v>
      </c>
      <c r="F14" s="111">
        <f>($F$12)</f>
        <v>3</v>
      </c>
      <c r="G14" s="166">
        <f>(F14*E14)</f>
        <v>174999</v>
      </c>
      <c r="I14" s="7"/>
    </row>
    <row r="15" spans="1:9" x14ac:dyDescent="0.2">
      <c r="A15" s="6"/>
      <c r="C15" s="3" t="s">
        <v>208</v>
      </c>
      <c r="D15" s="415" t="s">
        <v>211</v>
      </c>
      <c r="E15" s="443">
        <f>INT(E14/4)</f>
        <v>14583</v>
      </c>
      <c r="F15" s="111">
        <f>($F$12)</f>
        <v>3</v>
      </c>
      <c r="G15" s="166">
        <f>(F15*E15)</f>
        <v>43749</v>
      </c>
      <c r="I15" s="7"/>
    </row>
    <row r="16" spans="1:9" ht="13.5" thickBot="1" x14ac:dyDescent="0.25">
      <c r="A16" s="6"/>
      <c r="C16" s="70" t="s">
        <v>210</v>
      </c>
      <c r="D16" s="444" t="s">
        <v>211</v>
      </c>
      <c r="E16" s="445">
        <f>INT(E15/7)</f>
        <v>2083</v>
      </c>
      <c r="F16" s="158">
        <f>($F$12)</f>
        <v>3</v>
      </c>
      <c r="G16" s="220">
        <f>(F16*E16)</f>
        <v>6249</v>
      </c>
      <c r="I16" s="7"/>
    </row>
    <row r="17" spans="1:9" x14ac:dyDescent="0.2">
      <c r="A17" s="6"/>
      <c r="I17" s="7"/>
    </row>
    <row r="18" spans="1:9" x14ac:dyDescent="0.2">
      <c r="A18" s="6"/>
      <c r="I18" s="7"/>
    </row>
    <row r="19" spans="1:9" ht="13.5" thickBot="1" x14ac:dyDescent="0.25">
      <c r="A19" s="6"/>
      <c r="I19" s="7"/>
    </row>
    <row r="20" spans="1:9" ht="13.5" thickBot="1" x14ac:dyDescent="0.25">
      <c r="A20" s="6"/>
      <c r="C20" s="43" t="s">
        <v>204</v>
      </c>
      <c r="I20" s="7"/>
    </row>
    <row r="21" spans="1:9" x14ac:dyDescent="0.2">
      <c r="A21" s="6"/>
      <c r="I21" s="7"/>
    </row>
    <row r="22" spans="1:9" x14ac:dyDescent="0.2">
      <c r="A22" s="6"/>
      <c r="C22" s="88" t="s">
        <v>219</v>
      </c>
      <c r="D22" s="80">
        <v>280</v>
      </c>
      <c r="I22" s="7"/>
    </row>
    <row r="23" spans="1:9" x14ac:dyDescent="0.2">
      <c r="A23" s="6"/>
      <c r="C23" s="88" t="s">
        <v>218</v>
      </c>
      <c r="D23" s="80">
        <v>1</v>
      </c>
      <c r="I23" s="7"/>
    </row>
    <row r="24" spans="1:9" x14ac:dyDescent="0.2">
      <c r="A24" s="6"/>
      <c r="C24" s="88" t="s">
        <v>213</v>
      </c>
      <c r="D24" s="80">
        <v>10</v>
      </c>
      <c r="I24" s="7"/>
    </row>
    <row r="25" spans="1:9" x14ac:dyDescent="0.2">
      <c r="A25" s="6"/>
      <c r="C25" s="88"/>
      <c r="I25" s="7"/>
    </row>
    <row r="26" spans="1:9" x14ac:dyDescent="0.2">
      <c r="A26" s="6"/>
      <c r="C26" s="88" t="s">
        <v>220</v>
      </c>
      <c r="D26" s="356">
        <f>(D22/30)*D23</f>
        <v>9.3333333333333339</v>
      </c>
      <c r="E26" s="229" t="s">
        <v>221</v>
      </c>
      <c r="I26" s="7"/>
    </row>
    <row r="27" spans="1:9" ht="13.5" thickBot="1" x14ac:dyDescent="0.25">
      <c r="A27" s="6"/>
      <c r="C27" s="88"/>
      <c r="I27" s="7"/>
    </row>
    <row r="28" spans="1:9" x14ac:dyDescent="0.2">
      <c r="A28" s="6"/>
      <c r="C28" s="123" t="s">
        <v>212</v>
      </c>
      <c r="D28" s="124" t="s">
        <v>39</v>
      </c>
      <c r="E28" s="124" t="s">
        <v>154</v>
      </c>
      <c r="F28" s="124" t="s">
        <v>40</v>
      </c>
      <c r="G28" s="132" t="s">
        <v>78</v>
      </c>
      <c r="I28" s="7"/>
    </row>
    <row r="29" spans="1:9" x14ac:dyDescent="0.2">
      <c r="A29" s="6"/>
      <c r="C29" s="218"/>
      <c r="D29" s="170"/>
      <c r="E29" s="170" t="s">
        <v>155</v>
      </c>
      <c r="F29" s="170" t="s">
        <v>157</v>
      </c>
      <c r="G29" s="219" t="str">
        <f>Curr_1</f>
        <v>USD</v>
      </c>
      <c r="I29" s="7"/>
    </row>
    <row r="30" spans="1:9" ht="13.5" thickBot="1" x14ac:dyDescent="0.25">
      <c r="A30" s="6"/>
      <c r="C30" s="14"/>
      <c r="D30" s="125"/>
      <c r="E30" s="125" t="s">
        <v>156</v>
      </c>
      <c r="F30" s="125" t="str">
        <f>"UNIT "&amp;Curr_1</f>
        <v>UNIT USD</v>
      </c>
      <c r="G30" s="134"/>
      <c r="I30" s="7"/>
    </row>
    <row r="31" spans="1:9" x14ac:dyDescent="0.2">
      <c r="A31" s="6"/>
      <c r="C31" s="10" t="s">
        <v>213</v>
      </c>
      <c r="D31" s="441" t="s">
        <v>211</v>
      </c>
      <c r="E31" s="424">
        <f>(D24)</f>
        <v>10</v>
      </c>
      <c r="F31" s="161">
        <f>($G$12)</f>
        <v>3</v>
      </c>
      <c r="G31" s="162">
        <f>(F31*E31)</f>
        <v>30</v>
      </c>
      <c r="I31" s="7"/>
    </row>
    <row r="32" spans="1:9" x14ac:dyDescent="0.2">
      <c r="A32" s="6"/>
      <c r="C32" s="3" t="s">
        <v>214</v>
      </c>
      <c r="D32" s="415" t="s">
        <v>211</v>
      </c>
      <c r="E32" s="420">
        <v>700000</v>
      </c>
      <c r="F32" s="111">
        <f>($G$12)</f>
        <v>3</v>
      </c>
      <c r="G32" s="166">
        <f>(F32*E32)</f>
        <v>2100000</v>
      </c>
      <c r="I32" s="7"/>
    </row>
    <row r="33" spans="1:9" x14ac:dyDescent="0.2">
      <c r="A33" s="6"/>
      <c r="C33" s="3" t="s">
        <v>215</v>
      </c>
      <c r="D33" s="415" t="s">
        <v>211</v>
      </c>
      <c r="E33" s="420">
        <f>INT(E32/D26)</f>
        <v>75000</v>
      </c>
      <c r="F33" s="111">
        <f>($G$12)</f>
        <v>3</v>
      </c>
      <c r="G33" s="166">
        <f>(F33*E33)</f>
        <v>225000</v>
      </c>
      <c r="I33" s="7"/>
    </row>
    <row r="34" spans="1:9" x14ac:dyDescent="0.2">
      <c r="A34" s="6"/>
      <c r="C34" s="3" t="s">
        <v>216</v>
      </c>
      <c r="D34" s="415" t="s">
        <v>211</v>
      </c>
      <c r="E34" s="420">
        <f>INT(E33/4)</f>
        <v>18750</v>
      </c>
      <c r="F34" s="111">
        <f>($G$12)</f>
        <v>3</v>
      </c>
      <c r="G34" s="166">
        <f>(F34*E34)</f>
        <v>56250</v>
      </c>
      <c r="I34" s="7"/>
    </row>
    <row r="35" spans="1:9" ht="13.5" thickBot="1" x14ac:dyDescent="0.25">
      <c r="A35" s="6"/>
      <c r="C35" s="70" t="s">
        <v>217</v>
      </c>
      <c r="D35" s="444" t="s">
        <v>211</v>
      </c>
      <c r="E35" s="433">
        <f>INT(E34/7)</f>
        <v>2678</v>
      </c>
      <c r="F35" s="158">
        <f>($G$12)</f>
        <v>3</v>
      </c>
      <c r="G35" s="220">
        <f>(F35*E35)</f>
        <v>8034</v>
      </c>
      <c r="I35" s="7"/>
    </row>
    <row r="36" spans="1:9" x14ac:dyDescent="0.2">
      <c r="A36" s="6"/>
      <c r="I36" s="7"/>
    </row>
    <row r="37" spans="1:9" x14ac:dyDescent="0.2">
      <c r="A37" s="6"/>
      <c r="I37" s="7"/>
    </row>
    <row r="38" spans="1:9" ht="13.5" thickBot="1" x14ac:dyDescent="0.25">
      <c r="A38" s="6"/>
      <c r="I38" s="7"/>
    </row>
    <row r="39" spans="1:9" ht="13.5" thickBot="1" x14ac:dyDescent="0.25">
      <c r="A39" s="6"/>
      <c r="C39" s="43" t="s">
        <v>223</v>
      </c>
      <c r="I39" s="7"/>
    </row>
    <row r="40" spans="1:9" ht="13.5" thickBot="1" x14ac:dyDescent="0.25">
      <c r="A40" s="6"/>
      <c r="I40" s="7"/>
    </row>
    <row r="41" spans="1:9" x14ac:dyDescent="0.2">
      <c r="A41" s="6"/>
      <c r="C41" s="123" t="s">
        <v>224</v>
      </c>
      <c r="D41" s="124"/>
      <c r="E41" s="124" t="s">
        <v>203</v>
      </c>
      <c r="F41" s="124" t="s">
        <v>204</v>
      </c>
      <c r="G41" s="132" t="s">
        <v>225</v>
      </c>
      <c r="I41" s="7"/>
    </row>
    <row r="42" spans="1:9" x14ac:dyDescent="0.2">
      <c r="A42" s="6"/>
      <c r="C42" s="218"/>
      <c r="D42" s="170"/>
      <c r="E42" s="170"/>
      <c r="F42" s="170"/>
      <c r="G42" s="221" t="s">
        <v>226</v>
      </c>
      <c r="I42" s="7"/>
    </row>
    <row r="43" spans="1:9" ht="13.5" thickBot="1" x14ac:dyDescent="0.25">
      <c r="A43" s="6"/>
      <c r="C43" s="14"/>
      <c r="D43" s="125"/>
      <c r="E43" s="125"/>
      <c r="F43" s="125"/>
      <c r="G43" s="134" t="s">
        <v>227</v>
      </c>
      <c r="I43" s="7"/>
    </row>
    <row r="44" spans="1:9" x14ac:dyDescent="0.2">
      <c r="A44" s="6"/>
      <c r="C44" s="10" t="s">
        <v>228</v>
      </c>
      <c r="D44" s="77"/>
      <c r="E44" s="183">
        <f>(E13)</f>
        <v>700000</v>
      </c>
      <c r="F44" s="222">
        <f>(E32)</f>
        <v>700000</v>
      </c>
      <c r="G44" s="223">
        <f>(F44-E44)</f>
        <v>0</v>
      </c>
      <c r="I44" s="7"/>
    </row>
    <row r="45" spans="1:9" x14ac:dyDescent="0.2">
      <c r="A45" s="6"/>
      <c r="C45" s="3" t="s">
        <v>229</v>
      </c>
      <c r="D45" s="75"/>
      <c r="E45" s="171">
        <f>(E14)</f>
        <v>58333</v>
      </c>
      <c r="F45" s="224">
        <f>(E33)</f>
        <v>75000</v>
      </c>
      <c r="G45" s="225">
        <f>(F45-E45)</f>
        <v>16667</v>
      </c>
      <c r="I45" s="7"/>
    </row>
    <row r="46" spans="1:9" x14ac:dyDescent="0.2">
      <c r="A46" s="6"/>
      <c r="C46" s="3" t="s">
        <v>230</v>
      </c>
      <c r="D46" s="75"/>
      <c r="E46" s="171">
        <f>(E15)</f>
        <v>14583</v>
      </c>
      <c r="F46" s="224">
        <f>(E34)</f>
        <v>18750</v>
      </c>
      <c r="G46" s="225">
        <f>(F46-E46)</f>
        <v>4167</v>
      </c>
      <c r="I46" s="7"/>
    </row>
    <row r="47" spans="1:9" ht="13.5" thickBot="1" x14ac:dyDescent="0.25">
      <c r="A47" s="6"/>
      <c r="C47" s="70" t="s">
        <v>231</v>
      </c>
      <c r="D47" s="76"/>
      <c r="E47" s="168">
        <f>(E16)</f>
        <v>2083</v>
      </c>
      <c r="F47" s="226">
        <f>(E35)</f>
        <v>2678</v>
      </c>
      <c r="G47" s="227">
        <f>(F47-E47)</f>
        <v>595</v>
      </c>
      <c r="I47" s="7"/>
    </row>
    <row r="48" spans="1:9" ht="13.5" thickBot="1" x14ac:dyDescent="0.25">
      <c r="A48" s="26"/>
      <c r="B48" s="27"/>
      <c r="C48" s="27"/>
      <c r="D48" s="216"/>
      <c r="E48" s="216"/>
      <c r="F48" s="216"/>
      <c r="G48" s="217"/>
      <c r="H48" s="27"/>
      <c r="I48" s="8"/>
    </row>
  </sheetData>
  <phoneticPr fontId="0" type="noConversion"/>
  <pageMargins left="0.75" right="0.75" top="1" bottom="1" header="0.5" footer="0.5"/>
  <pageSetup paperSize="9" scale="8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6"/>
  <sheetViews>
    <sheetView workbookViewId="0">
      <selection activeCell="F9" sqref="F9"/>
    </sheetView>
  </sheetViews>
  <sheetFormatPr defaultRowHeight="12.75" x14ac:dyDescent="0.2"/>
  <cols>
    <col min="1" max="1" width="1" customWidth="1"/>
    <col min="2" max="2" width="1.7109375" customWidth="1"/>
    <col min="3" max="3" width="25.42578125" customWidth="1"/>
    <col min="4" max="4" width="12.7109375" customWidth="1"/>
    <col min="5" max="5" width="12.7109375" style="45" customWidth="1"/>
  </cols>
  <sheetData>
    <row r="1" spans="1:7" x14ac:dyDescent="0.2">
      <c r="A1" s="21"/>
      <c r="B1" s="22"/>
      <c r="C1" s="22"/>
      <c r="D1" s="22"/>
      <c r="E1" s="141"/>
      <c r="F1" s="23"/>
    </row>
    <row r="2" spans="1:7" x14ac:dyDescent="0.2">
      <c r="A2" s="6"/>
      <c r="B2" s="24" t="s">
        <v>232</v>
      </c>
      <c r="C2" s="25"/>
      <c r="D2" s="87"/>
      <c r="E2" s="96"/>
      <c r="F2" s="250" t="s">
        <v>385</v>
      </c>
      <c r="G2" s="86"/>
    </row>
    <row r="3" spans="1:7" s="89" customFormat="1" ht="13.5" thickBot="1" x14ac:dyDescent="0.25">
      <c r="A3" s="251"/>
      <c r="B3" s="90"/>
      <c r="D3" s="91"/>
      <c r="E3" s="92"/>
      <c r="F3" s="252"/>
      <c r="G3" s="92"/>
    </row>
    <row r="4" spans="1:7" s="89" customFormat="1" ht="13.5" thickBot="1" x14ac:dyDescent="0.25">
      <c r="A4" s="251"/>
      <c r="B4" s="90"/>
      <c r="C4" s="102" t="s">
        <v>233</v>
      </c>
      <c r="D4" s="101"/>
      <c r="E4" s="92"/>
      <c r="F4" s="252"/>
      <c r="G4" s="92"/>
    </row>
    <row r="5" spans="1:7" s="89" customFormat="1" x14ac:dyDescent="0.2">
      <c r="A5" s="251"/>
      <c r="B5" s="90"/>
      <c r="D5" s="91"/>
      <c r="E5" s="92"/>
      <c r="F5" s="252"/>
      <c r="G5" s="92"/>
    </row>
    <row r="6" spans="1:7" s="89" customFormat="1" x14ac:dyDescent="0.2">
      <c r="A6" s="251"/>
      <c r="B6" s="90"/>
      <c r="C6" s="88" t="s">
        <v>42</v>
      </c>
      <c r="D6" s="116" t="str">
        <f>Curr_2</f>
        <v>EUR</v>
      </c>
      <c r="E6" s="92"/>
      <c r="F6" s="252"/>
      <c r="G6" s="92"/>
    </row>
    <row r="7" spans="1:7" s="89" customFormat="1" x14ac:dyDescent="0.2">
      <c r="A7" s="251"/>
      <c r="B7" s="90"/>
      <c r="C7" s="88" t="s">
        <v>43</v>
      </c>
      <c r="D7" s="117">
        <f>Curr_Conv</f>
        <v>1.8640000000000001</v>
      </c>
      <c r="E7" s="92"/>
      <c r="F7" s="252"/>
      <c r="G7" s="92"/>
    </row>
    <row r="8" spans="1:7" s="89" customFormat="1" ht="13.5" thickBot="1" x14ac:dyDescent="0.25">
      <c r="A8" s="251"/>
      <c r="B8" s="90"/>
      <c r="D8" s="91"/>
      <c r="E8" s="92"/>
      <c r="F8" s="252"/>
      <c r="G8" s="92"/>
    </row>
    <row r="9" spans="1:7" s="89" customFormat="1" x14ac:dyDescent="0.2">
      <c r="A9" s="251"/>
      <c r="B9" s="90"/>
      <c r="C9" s="242" t="s">
        <v>234</v>
      </c>
      <c r="D9" s="243" t="s">
        <v>41</v>
      </c>
      <c r="E9" s="244" t="s">
        <v>41</v>
      </c>
      <c r="F9" s="252"/>
      <c r="G9" s="92"/>
    </row>
    <row r="10" spans="1:7" s="89" customFormat="1" ht="13.5" thickBot="1" x14ac:dyDescent="0.25">
      <c r="A10" s="251"/>
      <c r="B10" s="90"/>
      <c r="C10" s="245"/>
      <c r="D10" s="246" t="str">
        <f>Curr_1</f>
        <v>USD</v>
      </c>
      <c r="E10" s="247" t="str">
        <f>Curr_2</f>
        <v>EUR</v>
      </c>
      <c r="F10" s="252"/>
      <c r="G10" s="92"/>
    </row>
    <row r="11" spans="1:7" s="89" customFormat="1" x14ac:dyDescent="0.2">
      <c r="A11" s="251"/>
      <c r="B11" s="90"/>
      <c r="C11" s="97" t="s">
        <v>247</v>
      </c>
      <c r="D11" s="235"/>
      <c r="E11" s="236"/>
      <c r="F11" s="252"/>
      <c r="G11" s="92"/>
    </row>
    <row r="12" spans="1:7" s="89" customFormat="1" x14ac:dyDescent="0.2">
      <c r="A12" s="251"/>
      <c r="B12" s="90"/>
      <c r="C12" s="94" t="s">
        <v>248</v>
      </c>
      <c r="D12" s="446">
        <f>('Cover Struct'!K3)</f>
        <v>7345</v>
      </c>
      <c r="E12" s="447">
        <f>(D12/$D$7)</f>
        <v>3940.4506437768237</v>
      </c>
      <c r="F12" s="252"/>
      <c r="G12" s="92"/>
    </row>
    <row r="13" spans="1:7" s="89" customFormat="1" x14ac:dyDescent="0.2">
      <c r="A13" s="251"/>
      <c r="B13" s="90"/>
      <c r="C13" s="94" t="s">
        <v>249</v>
      </c>
      <c r="D13" s="473">
        <f>('Cover Struct'!L3)</f>
        <v>1500000</v>
      </c>
      <c r="E13" s="447">
        <f>(D13/$D$7)</f>
        <v>804721.0300429184</v>
      </c>
      <c r="F13" s="252"/>
      <c r="G13" s="92"/>
    </row>
    <row r="14" spans="1:7" s="89" customFormat="1" x14ac:dyDescent="0.2">
      <c r="A14" s="251"/>
      <c r="B14" s="90"/>
      <c r="C14" s="95" t="s">
        <v>250</v>
      </c>
      <c r="D14" s="448">
        <f>('Cover Struct'!M3)</f>
        <v>0</v>
      </c>
      <c r="E14" s="447">
        <f>(D14/$D$7)</f>
        <v>0</v>
      </c>
      <c r="F14" s="252"/>
      <c r="G14" s="92"/>
    </row>
    <row r="15" spans="1:7" s="89" customFormat="1" x14ac:dyDescent="0.2">
      <c r="A15" s="251"/>
      <c r="B15" s="90"/>
      <c r="C15" s="98" t="s">
        <v>251</v>
      </c>
      <c r="D15" s="237"/>
      <c r="E15" s="238"/>
      <c r="F15" s="252"/>
      <c r="G15" s="92"/>
    </row>
    <row r="16" spans="1:7" s="89" customFormat="1" x14ac:dyDescent="0.2">
      <c r="A16" s="251"/>
      <c r="B16" s="90"/>
      <c r="C16" s="94" t="s">
        <v>252</v>
      </c>
      <c r="D16" s="446">
        <f>(Irrigation!L3)</f>
        <v>251528</v>
      </c>
      <c r="E16" s="447">
        <f>(D16/$D$7)</f>
        <v>134939.91416309011</v>
      </c>
      <c r="F16" s="252"/>
      <c r="G16" s="92"/>
    </row>
    <row r="17" spans="1:7" s="89" customFormat="1" x14ac:dyDescent="0.2">
      <c r="A17" s="251"/>
      <c r="B17" s="90"/>
      <c r="C17" s="95" t="s">
        <v>253</v>
      </c>
      <c r="D17" s="448">
        <f>(Irrigation!M3)</f>
        <v>0</v>
      </c>
      <c r="E17" s="447">
        <f>(D17/$D$7)</f>
        <v>0</v>
      </c>
      <c r="F17" s="252"/>
      <c r="G17" s="92"/>
    </row>
    <row r="18" spans="1:7" s="89" customFormat="1" x14ac:dyDescent="0.2">
      <c r="A18" s="251"/>
      <c r="B18" s="90"/>
      <c r="C18" s="98" t="s">
        <v>254</v>
      </c>
      <c r="D18" s="237"/>
      <c r="E18" s="238"/>
      <c r="F18" s="252"/>
      <c r="G18" s="92"/>
    </row>
    <row r="19" spans="1:7" s="89" customFormat="1" x14ac:dyDescent="0.2">
      <c r="A19" s="251"/>
      <c r="B19" s="90"/>
      <c r="C19" s="94" t="s">
        <v>178</v>
      </c>
      <c r="D19" s="446">
        <f>(Heating!K3)</f>
        <v>381000</v>
      </c>
      <c r="E19" s="447">
        <f>(D19/$D$7)</f>
        <v>204399.14163090129</v>
      </c>
      <c r="F19" s="252"/>
      <c r="G19" s="92"/>
    </row>
    <row r="20" spans="1:7" s="89" customFormat="1" x14ac:dyDescent="0.2">
      <c r="A20" s="251"/>
      <c r="B20" s="90"/>
      <c r="C20" s="94" t="s">
        <v>255</v>
      </c>
      <c r="D20" s="446">
        <f>(Heating!L3)</f>
        <v>0</v>
      </c>
      <c r="E20" s="447">
        <f>(D20/$D$7)</f>
        <v>0</v>
      </c>
      <c r="F20" s="252"/>
      <c r="G20" s="92"/>
    </row>
    <row r="21" spans="1:7" s="89" customFormat="1" x14ac:dyDescent="0.2">
      <c r="A21" s="251"/>
      <c r="B21" s="90"/>
      <c r="C21" s="94" t="s">
        <v>181</v>
      </c>
      <c r="D21" s="446">
        <f>(Heating!M3)</f>
        <v>0</v>
      </c>
      <c r="E21" s="447">
        <f>(D21/$D$7)</f>
        <v>0</v>
      </c>
      <c r="F21" s="252"/>
      <c r="G21" s="92"/>
    </row>
    <row r="22" spans="1:7" s="89" customFormat="1" x14ac:dyDescent="0.2">
      <c r="A22" s="251"/>
      <c r="B22" s="90"/>
      <c r="C22" s="94" t="s">
        <v>180</v>
      </c>
      <c r="D22" s="446">
        <f>(Heating!N3)</f>
        <v>0</v>
      </c>
      <c r="E22" s="447">
        <f>(D22/$D$7)</f>
        <v>0</v>
      </c>
      <c r="F22" s="252"/>
      <c r="G22" s="92"/>
    </row>
    <row r="23" spans="1:7" s="89" customFormat="1" x14ac:dyDescent="0.2">
      <c r="A23" s="251"/>
      <c r="B23" s="90"/>
      <c r="C23" s="95" t="s">
        <v>179</v>
      </c>
      <c r="D23" s="448">
        <f>(Heating!O3)</f>
        <v>0</v>
      </c>
      <c r="E23" s="447">
        <f>(D23/$D$7)</f>
        <v>0</v>
      </c>
      <c r="F23" s="252"/>
      <c r="G23" s="92"/>
    </row>
    <row r="24" spans="1:7" s="89" customFormat="1" x14ac:dyDescent="0.2">
      <c r="A24" s="251"/>
      <c r="B24" s="90"/>
      <c r="C24" s="98" t="s">
        <v>256</v>
      </c>
      <c r="D24" s="237"/>
      <c r="E24" s="238"/>
      <c r="F24" s="252"/>
      <c r="G24" s="92"/>
    </row>
    <row r="25" spans="1:7" s="89" customFormat="1" x14ac:dyDescent="0.2">
      <c r="A25" s="251"/>
      <c r="B25" s="90"/>
      <c r="C25" s="94" t="s">
        <v>257</v>
      </c>
      <c r="D25" s="446">
        <f>(Cooling!K3)</f>
        <v>0</v>
      </c>
      <c r="E25" s="447">
        <f>(D25/$D$7)</f>
        <v>0</v>
      </c>
      <c r="F25" s="252"/>
      <c r="G25" s="92"/>
    </row>
    <row r="26" spans="1:7" s="89" customFormat="1" x14ac:dyDescent="0.2">
      <c r="A26" s="251"/>
      <c r="B26" s="90"/>
      <c r="C26" s="95" t="s">
        <v>255</v>
      </c>
      <c r="D26" s="448">
        <f>(Cooling!L3)</f>
        <v>0</v>
      </c>
      <c r="E26" s="447">
        <f>(D26/$D$7)</f>
        <v>0</v>
      </c>
      <c r="F26" s="252"/>
      <c r="G26" s="92"/>
    </row>
    <row r="27" spans="1:7" s="89" customFormat="1" x14ac:dyDescent="0.2">
      <c r="A27" s="251"/>
      <c r="B27" s="90"/>
      <c r="C27" s="99" t="s">
        <v>132</v>
      </c>
      <c r="D27" s="449">
        <f>(Civils!K3)</f>
        <v>0</v>
      </c>
      <c r="E27" s="450">
        <f>(D27/$D$7)</f>
        <v>0</v>
      </c>
      <c r="F27" s="252"/>
      <c r="G27" s="92"/>
    </row>
    <row r="28" spans="1:7" s="89" customFormat="1" x14ac:dyDescent="0.2">
      <c r="A28" s="251"/>
      <c r="B28" s="90"/>
      <c r="C28" s="230" t="s">
        <v>335</v>
      </c>
      <c r="D28" s="449">
        <f>(Civils!L3)</f>
        <v>0</v>
      </c>
      <c r="E28" s="450">
        <f t="shared" ref="E28:E33" si="0">(D28/$D$7)</f>
        <v>0</v>
      </c>
      <c r="F28" s="252"/>
      <c r="G28" s="92"/>
    </row>
    <row r="29" spans="1:7" s="89" customFormat="1" x14ac:dyDescent="0.2">
      <c r="A29" s="251"/>
      <c r="B29" s="90"/>
      <c r="C29" s="230" t="s">
        <v>339</v>
      </c>
      <c r="D29" s="449">
        <f>(Civils!M3)</f>
        <v>0</v>
      </c>
      <c r="E29" s="450">
        <f t="shared" si="0"/>
        <v>0</v>
      </c>
      <c r="F29" s="252"/>
      <c r="G29" s="92"/>
    </row>
    <row r="30" spans="1:7" s="89" customFormat="1" x14ac:dyDescent="0.2">
      <c r="A30" s="251"/>
      <c r="B30" s="90"/>
      <c r="C30" s="230" t="s">
        <v>344</v>
      </c>
      <c r="D30" s="449">
        <f>(Civils!N3)</f>
        <v>0</v>
      </c>
      <c r="E30" s="450">
        <f t="shared" si="0"/>
        <v>0</v>
      </c>
      <c r="F30" s="252"/>
      <c r="G30" s="92"/>
    </row>
    <row r="31" spans="1:7" s="89" customFormat="1" x14ac:dyDescent="0.2">
      <c r="A31" s="251"/>
      <c r="C31" s="230" t="s">
        <v>348</v>
      </c>
      <c r="D31" s="449">
        <f>(Civils!O3)</f>
        <v>0</v>
      </c>
      <c r="E31" s="450">
        <f t="shared" si="0"/>
        <v>0</v>
      </c>
      <c r="F31" s="253"/>
    </row>
    <row r="32" spans="1:7" s="89" customFormat="1" x14ac:dyDescent="0.2">
      <c r="A32" s="251"/>
      <c r="C32" s="231" t="s">
        <v>350</v>
      </c>
      <c r="D32" s="449">
        <f>(Civils!P3)</f>
        <v>0</v>
      </c>
      <c r="E32" s="450">
        <f t="shared" si="0"/>
        <v>0</v>
      </c>
      <c r="F32" s="253"/>
    </row>
    <row r="33" spans="1:7" x14ac:dyDescent="0.2">
      <c r="A33" s="6"/>
      <c r="C33" s="231" t="s">
        <v>351</v>
      </c>
      <c r="D33" s="367">
        <f>(Civils!Q3)</f>
        <v>0</v>
      </c>
      <c r="E33" s="450">
        <f t="shared" si="0"/>
        <v>0</v>
      </c>
      <c r="F33" s="7"/>
    </row>
    <row r="34" spans="1:7" ht="13.5" thickBot="1" x14ac:dyDescent="0.25">
      <c r="A34" s="6"/>
      <c r="C34" s="100" t="s">
        <v>258</v>
      </c>
      <c r="D34" s="451">
        <f>(Equipment!K3)</f>
        <v>190400</v>
      </c>
      <c r="E34" s="452">
        <f>(D34/$D$7)</f>
        <v>102145.92274678111</v>
      </c>
      <c r="F34" s="7"/>
    </row>
    <row r="35" spans="1:7" x14ac:dyDescent="0.2">
      <c r="A35" s="6"/>
      <c r="F35" s="7"/>
    </row>
    <row r="36" spans="1:7" x14ac:dyDescent="0.2">
      <c r="A36" s="6"/>
      <c r="F36" s="7"/>
    </row>
    <row r="37" spans="1:7" ht="13.5" thickBot="1" x14ac:dyDescent="0.25">
      <c r="A37" s="6"/>
      <c r="F37" s="7"/>
    </row>
    <row r="38" spans="1:7" ht="13.5" thickBot="1" x14ac:dyDescent="0.25">
      <c r="A38" s="6"/>
      <c r="C38" s="93" t="s">
        <v>235</v>
      </c>
      <c r="D38" s="89"/>
      <c r="E38" s="254"/>
      <c r="F38" s="253"/>
    </row>
    <row r="39" spans="1:7" x14ac:dyDescent="0.2">
      <c r="A39" s="6"/>
      <c r="F39" s="7"/>
    </row>
    <row r="40" spans="1:7" x14ac:dyDescent="0.2">
      <c r="A40" s="6"/>
      <c r="C40" s="88" t="s">
        <v>42</v>
      </c>
      <c r="D40" s="116" t="str">
        <f>Curr_2</f>
        <v>EUR</v>
      </c>
      <c r="F40" s="7"/>
    </row>
    <row r="41" spans="1:7" x14ac:dyDescent="0.2">
      <c r="A41" s="6"/>
      <c r="C41" s="88" t="s">
        <v>43</v>
      </c>
      <c r="D41" s="117">
        <f>Curr_Conv</f>
        <v>1.8640000000000001</v>
      </c>
      <c r="F41" s="7"/>
      <c r="G41" s="103"/>
    </row>
    <row r="42" spans="1:7" ht="13.5" thickBot="1" x14ac:dyDescent="0.25">
      <c r="A42" s="6"/>
      <c r="F42" s="7"/>
    </row>
    <row r="43" spans="1:7" x14ac:dyDescent="0.2">
      <c r="A43" s="6"/>
      <c r="C43" s="186" t="s">
        <v>234</v>
      </c>
      <c r="D43" s="187" t="s">
        <v>41</v>
      </c>
      <c r="E43" s="188" t="s">
        <v>41</v>
      </c>
      <c r="F43" s="7"/>
    </row>
    <row r="44" spans="1:7" x14ac:dyDescent="0.2">
      <c r="A44" s="6"/>
      <c r="C44" s="190"/>
      <c r="D44" s="191" t="str">
        <f>Curr_1</f>
        <v>USD</v>
      </c>
      <c r="E44" s="192" t="str">
        <f>Curr_2</f>
        <v>EUR</v>
      </c>
      <c r="F44" s="7"/>
    </row>
    <row r="45" spans="1:7" ht="13.5" thickBot="1" x14ac:dyDescent="0.25">
      <c r="A45" s="6"/>
      <c r="C45" s="194"/>
      <c r="D45" s="195"/>
      <c r="E45" s="196"/>
      <c r="F45" s="7"/>
    </row>
    <row r="46" spans="1:7" x14ac:dyDescent="0.2">
      <c r="A46" s="6"/>
      <c r="C46" s="107" t="s">
        <v>153</v>
      </c>
      <c r="D46" s="161">
        <f>('Production Costs'!K3)</f>
        <v>1025650</v>
      </c>
      <c r="E46" s="162">
        <f>(D46/$D$41)</f>
        <v>550241.4163090128</v>
      </c>
      <c r="F46" s="7"/>
    </row>
    <row r="47" spans="1:7" x14ac:dyDescent="0.2">
      <c r="A47" s="6"/>
      <c r="C47" s="34" t="s">
        <v>254</v>
      </c>
      <c r="D47" s="239"/>
      <c r="E47" s="240"/>
      <c r="F47" s="7"/>
    </row>
    <row r="48" spans="1:7" x14ac:dyDescent="0.2">
      <c r="A48" s="6"/>
      <c r="C48" s="104" t="s">
        <v>178</v>
      </c>
      <c r="D48" s="453">
        <f>('Production Costs'!L3)</f>
        <v>25000</v>
      </c>
      <c r="E48" s="454">
        <f>(D48/$D$41)</f>
        <v>13412.017167381973</v>
      </c>
      <c r="F48" s="7"/>
    </row>
    <row r="49" spans="1:7" x14ac:dyDescent="0.2">
      <c r="A49" s="6"/>
      <c r="C49" s="104" t="s">
        <v>177</v>
      </c>
      <c r="D49" s="453">
        <f>('Production Costs'!M3)</f>
        <v>0</v>
      </c>
      <c r="E49" s="454">
        <f>(D49/$D$41)</f>
        <v>0</v>
      </c>
      <c r="F49" s="7"/>
    </row>
    <row r="50" spans="1:7" x14ac:dyDescent="0.2">
      <c r="A50" s="6"/>
      <c r="C50" s="104" t="s">
        <v>181</v>
      </c>
      <c r="D50" s="453">
        <f>('Production Costs'!N3)</f>
        <v>0</v>
      </c>
      <c r="E50" s="454">
        <f>(D50/$D$41)</f>
        <v>0</v>
      </c>
      <c r="F50" s="7"/>
    </row>
    <row r="51" spans="1:7" x14ac:dyDescent="0.2">
      <c r="A51" s="6"/>
      <c r="C51" s="104" t="s">
        <v>180</v>
      </c>
      <c r="D51" s="453">
        <f>('Production Costs'!O3)</f>
        <v>0</v>
      </c>
      <c r="E51" s="454">
        <f>(D51/$D$41)</f>
        <v>0</v>
      </c>
      <c r="F51" s="7"/>
      <c r="G51" s="103"/>
    </row>
    <row r="52" spans="1:7" x14ac:dyDescent="0.2">
      <c r="A52" s="6"/>
      <c r="C52" s="105" t="s">
        <v>179</v>
      </c>
      <c r="D52" s="455">
        <f>('Production Costs'!P3)</f>
        <v>0</v>
      </c>
      <c r="E52" s="456">
        <f>(D52/$D$41)</f>
        <v>0</v>
      </c>
      <c r="F52" s="7"/>
    </row>
    <row r="53" spans="1:7" x14ac:dyDescent="0.2">
      <c r="A53" s="6"/>
      <c r="C53" s="34" t="s">
        <v>256</v>
      </c>
      <c r="D53" s="112"/>
      <c r="E53" s="241"/>
      <c r="F53" s="7"/>
    </row>
    <row r="54" spans="1:7" x14ac:dyDescent="0.2">
      <c r="A54" s="6"/>
      <c r="C54" s="104" t="s">
        <v>139</v>
      </c>
      <c r="D54" s="457">
        <f>('Production Costs'!Q3)</f>
        <v>0</v>
      </c>
      <c r="E54" s="454">
        <f>(D54/$D$41)</f>
        <v>0</v>
      </c>
      <c r="F54" s="7"/>
    </row>
    <row r="55" spans="1:7" ht="13.5" thickBot="1" x14ac:dyDescent="0.25">
      <c r="A55" s="6"/>
      <c r="C55" s="106" t="s">
        <v>177</v>
      </c>
      <c r="D55" s="458">
        <f>('Production Costs'!R3)</f>
        <v>0</v>
      </c>
      <c r="E55" s="459">
        <f>(D55/$D$41)</f>
        <v>0</v>
      </c>
      <c r="F55" s="7"/>
    </row>
    <row r="56" spans="1:7" x14ac:dyDescent="0.2">
      <c r="A56" s="6"/>
      <c r="F56" s="7"/>
    </row>
    <row r="57" spans="1:7" ht="13.5" thickBot="1" x14ac:dyDescent="0.25">
      <c r="A57" s="6"/>
      <c r="F57" s="7"/>
    </row>
    <row r="58" spans="1:7" ht="13.5" thickBot="1" x14ac:dyDescent="0.25">
      <c r="A58" s="6"/>
      <c r="C58" s="93" t="s">
        <v>272</v>
      </c>
      <c r="D58" s="89"/>
      <c r="F58" s="7"/>
    </row>
    <row r="59" spans="1:7" x14ac:dyDescent="0.2">
      <c r="A59" s="6"/>
      <c r="F59" s="7"/>
    </row>
    <row r="60" spans="1:7" x14ac:dyDescent="0.2">
      <c r="A60" s="6"/>
      <c r="C60" s="88" t="s">
        <v>42</v>
      </c>
      <c r="D60" s="116" t="str">
        <f>Curr_2</f>
        <v>EUR</v>
      </c>
      <c r="F60" s="7"/>
    </row>
    <row r="61" spans="1:7" x14ac:dyDescent="0.2">
      <c r="A61" s="6"/>
      <c r="C61" s="88" t="s">
        <v>43</v>
      </c>
      <c r="D61" s="117">
        <f>Curr_Conv</f>
        <v>1.8640000000000001</v>
      </c>
      <c r="F61" s="7"/>
    </row>
    <row r="62" spans="1:7" ht="13.5" thickBot="1" x14ac:dyDescent="0.25">
      <c r="A62" s="6"/>
      <c r="C62" s="88"/>
      <c r="D62" s="117"/>
      <c r="F62" s="7"/>
    </row>
    <row r="63" spans="1:7" x14ac:dyDescent="0.2">
      <c r="A63" s="6"/>
      <c r="C63" s="186" t="s">
        <v>234</v>
      </c>
      <c r="D63" s="248" t="s">
        <v>78</v>
      </c>
      <c r="E63" s="188" t="s">
        <v>78</v>
      </c>
      <c r="F63" s="7"/>
    </row>
    <row r="64" spans="1:7" ht="13.5" thickBot="1" x14ac:dyDescent="0.25">
      <c r="A64" s="6"/>
      <c r="C64" s="194"/>
      <c r="D64" s="249" t="str">
        <f>Curr_1</f>
        <v>USD</v>
      </c>
      <c r="E64" s="196" t="str">
        <f>Curr_2</f>
        <v>EUR</v>
      </c>
      <c r="F64" s="7"/>
    </row>
    <row r="65" spans="1:6" ht="13.5" thickBot="1" x14ac:dyDescent="0.25">
      <c r="A65" s="6"/>
      <c r="C65" s="26" t="s">
        <v>273</v>
      </c>
      <c r="D65" s="460">
        <f>(Market!G32)</f>
        <v>2100000</v>
      </c>
      <c r="E65" s="461">
        <f>(D65/$D$61)</f>
        <v>1126609.4420600857</v>
      </c>
      <c r="F65" s="7"/>
    </row>
    <row r="66" spans="1:6" ht="13.5" thickBot="1" x14ac:dyDescent="0.25">
      <c r="A66" s="26"/>
      <c r="B66" s="27"/>
      <c r="C66" s="27"/>
      <c r="D66" s="27"/>
      <c r="E66" s="146"/>
      <c r="F66" s="8"/>
    </row>
  </sheetData>
  <phoneticPr fontId="0" type="noConversion"/>
  <pageMargins left="0.75" right="0.75" top="1" bottom="1" header="0.5" footer="0.5"/>
  <pageSetup paperSize="9" scale="2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310"/>
  <sheetViews>
    <sheetView topLeftCell="A85" workbookViewId="0">
      <selection activeCell="I70" sqref="I70"/>
    </sheetView>
  </sheetViews>
  <sheetFormatPr defaultRowHeight="12.75" x14ac:dyDescent="0.2"/>
  <cols>
    <col min="1" max="1" width="1.140625" customWidth="1"/>
    <col min="2" max="2" width="1.7109375" customWidth="1"/>
    <col min="3" max="3" width="39.85546875" customWidth="1"/>
    <col min="4" max="4" width="13.85546875" customWidth="1"/>
    <col min="5" max="5" width="13" customWidth="1"/>
    <col min="6" max="6" width="10.7109375" customWidth="1"/>
    <col min="7" max="7" width="10.85546875" customWidth="1"/>
    <col min="8" max="8" width="10.42578125" customWidth="1"/>
    <col min="9" max="9" width="10.140625" customWidth="1"/>
    <col min="10" max="14" width="10.5703125" bestFit="1" customWidth="1"/>
    <col min="15" max="15" width="10.7109375" bestFit="1" customWidth="1"/>
    <col min="16" max="16" width="10.5703125" bestFit="1" customWidth="1"/>
    <col min="17" max="18" width="3.28515625" customWidth="1"/>
    <col min="19" max="19" width="17.85546875" customWidth="1"/>
    <col min="20" max="31" width="11" customWidth="1"/>
  </cols>
  <sheetData>
    <row r="1" spans="1:31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S1" s="218"/>
      <c r="T1" s="2">
        <v>1</v>
      </c>
      <c r="U1" s="2">
        <v>2</v>
      </c>
      <c r="V1" s="2">
        <v>3</v>
      </c>
      <c r="W1" s="2">
        <v>4</v>
      </c>
      <c r="X1" s="2">
        <v>5</v>
      </c>
      <c r="Y1" s="2">
        <v>6</v>
      </c>
      <c r="Z1" s="2">
        <v>7</v>
      </c>
      <c r="AA1" s="2">
        <v>8</v>
      </c>
      <c r="AB1" s="2">
        <v>9</v>
      </c>
      <c r="AC1" s="2">
        <v>10</v>
      </c>
      <c r="AD1" s="2">
        <v>11</v>
      </c>
      <c r="AE1" s="4">
        <v>12</v>
      </c>
    </row>
    <row r="2" spans="1:31" ht="13.5" thickBot="1" x14ac:dyDescent="0.25">
      <c r="A2" s="6"/>
      <c r="B2" s="24" t="s">
        <v>386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 t="s">
        <v>451</v>
      </c>
      <c r="P2" s="24"/>
      <c r="Q2" s="7"/>
      <c r="S2" s="14" t="s">
        <v>450</v>
      </c>
      <c r="T2" s="54">
        <f>E92+E123+E154+E185+E216+E247+E278+E309</f>
        <v>562.50000000000011</v>
      </c>
      <c r="U2" s="54">
        <f t="shared" ref="U2:AE2" si="0">F92+F123+F154+F185+F216+F247+F278+F309</f>
        <v>146012.5</v>
      </c>
      <c r="V2" s="54">
        <f t="shared" si="0"/>
        <v>562.50000000000011</v>
      </c>
      <c r="W2" s="54">
        <f t="shared" si="0"/>
        <v>562.50000000000011</v>
      </c>
      <c r="X2" s="54">
        <f t="shared" si="0"/>
        <v>2362.5</v>
      </c>
      <c r="Y2" s="54">
        <f t="shared" si="0"/>
        <v>144212.5</v>
      </c>
      <c r="Z2" s="54">
        <f t="shared" si="0"/>
        <v>562.50000000000011</v>
      </c>
      <c r="AA2" s="54">
        <f t="shared" si="0"/>
        <v>2362.5</v>
      </c>
      <c r="AB2" s="54">
        <f t="shared" si="0"/>
        <v>562.50000000000011</v>
      </c>
      <c r="AC2" s="54">
        <f t="shared" si="0"/>
        <v>562.50000000000011</v>
      </c>
      <c r="AD2" s="54">
        <f t="shared" si="0"/>
        <v>2362.5</v>
      </c>
      <c r="AE2" s="55">
        <f t="shared" si="0"/>
        <v>562.50000000000011</v>
      </c>
    </row>
    <row r="3" spans="1:31" ht="13.5" thickBot="1" x14ac:dyDescent="0.25">
      <c r="A3" s="6"/>
      <c r="Q3" s="7"/>
    </row>
    <row r="4" spans="1:31" ht="13.5" thickBot="1" x14ac:dyDescent="0.25">
      <c r="A4" s="6"/>
      <c r="C4" s="486" t="s">
        <v>387</v>
      </c>
      <c r="Q4" s="7"/>
    </row>
    <row r="5" spans="1:31" x14ac:dyDescent="0.2">
      <c r="A5" s="6"/>
      <c r="Q5" s="7"/>
    </row>
    <row r="6" spans="1:31" x14ac:dyDescent="0.2">
      <c r="A6" s="6"/>
      <c r="C6" s="88" t="s">
        <v>539</v>
      </c>
      <c r="D6" s="283">
        <v>670000</v>
      </c>
      <c r="E6" t="str">
        <f>unit_weight</f>
        <v>kg</v>
      </c>
      <c r="Q6" s="7"/>
    </row>
    <row r="7" spans="1:31" x14ac:dyDescent="0.2">
      <c r="A7" s="6"/>
      <c r="C7" s="88" t="s">
        <v>538</v>
      </c>
      <c r="D7" s="462">
        <f>(Market!D6)</f>
        <v>3</v>
      </c>
      <c r="E7" s="474" t="s">
        <v>540</v>
      </c>
      <c r="Q7" s="7"/>
    </row>
    <row r="8" spans="1:31" ht="13.5" thickBot="1" x14ac:dyDescent="0.25">
      <c r="A8" s="6"/>
      <c r="Q8" s="7"/>
    </row>
    <row r="9" spans="1:31" x14ac:dyDescent="0.2">
      <c r="A9" s="6"/>
      <c r="C9" s="256" t="s">
        <v>234</v>
      </c>
      <c r="D9" s="274" t="s">
        <v>41</v>
      </c>
      <c r="E9" s="487" t="s">
        <v>400</v>
      </c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9"/>
      <c r="Q9" s="7"/>
    </row>
    <row r="10" spans="1:31" ht="13.5" thickBot="1" x14ac:dyDescent="0.25">
      <c r="A10" s="6"/>
      <c r="C10" s="36"/>
      <c r="D10" s="275"/>
      <c r="E10" s="357" t="s">
        <v>388</v>
      </c>
      <c r="F10" s="358" t="s">
        <v>389</v>
      </c>
      <c r="G10" s="358" t="s">
        <v>390</v>
      </c>
      <c r="H10" s="358" t="s">
        <v>391</v>
      </c>
      <c r="I10" s="358" t="s">
        <v>392</v>
      </c>
      <c r="J10" s="358" t="s">
        <v>393</v>
      </c>
      <c r="K10" s="358" t="s">
        <v>394</v>
      </c>
      <c r="L10" s="358" t="s">
        <v>395</v>
      </c>
      <c r="M10" s="358" t="s">
        <v>396</v>
      </c>
      <c r="N10" s="358" t="s">
        <v>397</v>
      </c>
      <c r="O10" s="358" t="s">
        <v>398</v>
      </c>
      <c r="P10" s="359" t="s">
        <v>399</v>
      </c>
      <c r="Q10" s="7"/>
    </row>
    <row r="11" spans="1:31" x14ac:dyDescent="0.2">
      <c r="A11" s="6"/>
      <c r="C11" s="49" t="s">
        <v>402</v>
      </c>
      <c r="D11" s="468">
        <f>SUM(E11:P11)</f>
        <v>101</v>
      </c>
      <c r="E11" s="475">
        <v>6</v>
      </c>
      <c r="F11" s="475">
        <v>5</v>
      </c>
      <c r="G11" s="475">
        <v>5</v>
      </c>
      <c r="H11" s="475">
        <v>5</v>
      </c>
      <c r="I11" s="475">
        <v>15</v>
      </c>
      <c r="J11" s="475">
        <v>15</v>
      </c>
      <c r="K11" s="475">
        <v>15</v>
      </c>
      <c r="L11" s="475">
        <v>15</v>
      </c>
      <c r="M11" s="475">
        <v>5</v>
      </c>
      <c r="N11" s="475">
        <v>5</v>
      </c>
      <c r="O11" s="475">
        <v>5</v>
      </c>
      <c r="P11" s="475">
        <v>5</v>
      </c>
      <c r="Q11" s="7"/>
    </row>
    <row r="12" spans="1:31" x14ac:dyDescent="0.2">
      <c r="A12" s="6"/>
      <c r="C12" s="5" t="s">
        <v>403</v>
      </c>
      <c r="D12" s="468">
        <f t="shared" ref="D12:D18" si="1">SUM(E12:P12)</f>
        <v>0</v>
      </c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7"/>
      <c r="Q12" s="7"/>
    </row>
    <row r="13" spans="1:31" x14ac:dyDescent="0.2">
      <c r="A13" s="6"/>
      <c r="C13" s="5" t="s">
        <v>401</v>
      </c>
      <c r="D13" s="468">
        <f t="shared" si="1"/>
        <v>0</v>
      </c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7"/>
      <c r="Q13" s="7"/>
    </row>
    <row r="14" spans="1:31" x14ac:dyDescent="0.2">
      <c r="A14" s="6"/>
      <c r="C14" s="5" t="s">
        <v>404</v>
      </c>
      <c r="D14" s="468">
        <f t="shared" si="1"/>
        <v>0</v>
      </c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7"/>
      <c r="Q14" s="7"/>
    </row>
    <row r="15" spans="1:31" x14ac:dyDescent="0.2">
      <c r="A15" s="6"/>
      <c r="C15" s="5" t="s">
        <v>405</v>
      </c>
      <c r="D15" s="468">
        <f t="shared" si="1"/>
        <v>0</v>
      </c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7"/>
      <c r="Q15" s="7"/>
    </row>
    <row r="16" spans="1:31" x14ac:dyDescent="0.2">
      <c r="A16" s="6"/>
      <c r="C16" s="5" t="s">
        <v>406</v>
      </c>
      <c r="D16" s="468">
        <f t="shared" si="1"/>
        <v>0</v>
      </c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7"/>
      <c r="Q16" s="7"/>
    </row>
    <row r="17" spans="1:17" x14ac:dyDescent="0.2">
      <c r="A17" s="6"/>
      <c r="C17" s="5" t="s">
        <v>407</v>
      </c>
      <c r="D17" s="468">
        <f t="shared" si="1"/>
        <v>0</v>
      </c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7"/>
      <c r="Q17" s="7"/>
    </row>
    <row r="18" spans="1:17" ht="13.5" thickBot="1" x14ac:dyDescent="0.25">
      <c r="A18" s="6"/>
      <c r="C18" s="9" t="s">
        <v>408</v>
      </c>
      <c r="D18" s="468">
        <f t="shared" si="1"/>
        <v>0</v>
      </c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9"/>
      <c r="Q18" s="7"/>
    </row>
    <row r="19" spans="1:17" ht="13.5" thickBot="1" x14ac:dyDescent="0.25">
      <c r="A19" s="6"/>
      <c r="C19" s="258" t="s">
        <v>409</v>
      </c>
      <c r="D19" s="288"/>
      <c r="E19" s="288">
        <f>($D$6*(E11/100))+($D$6*(E12/100))+($D$6*(E13/100))+($D$6*($E$14/100))+($D$6*(E15/100))+($D$6*(E16/100))+($D$6*(E17/100))+($D$6*(E18/100))</f>
        <v>40200</v>
      </c>
      <c r="F19" s="288">
        <f>($D$6*(F11/100))+($D$6*(F12/100))+($D$6*(F13/100))+($D$6*($F$14/100))+($D$6*(F15/100))+($D$6*(F16/100))+($D$6*(F17/100))+($D$6*(F18/100))</f>
        <v>33500</v>
      </c>
      <c r="G19" s="288">
        <f>($D$6*(G11/100))+($D$6*(G12/100))+($D$6*(G13/100))+($D$6*($G$14/100))+($D$6*(G15/100))+($D$6*(G16/100))+($D$6*(G17/100))+($D$6*(G18/100))</f>
        <v>33500</v>
      </c>
      <c r="H19" s="288">
        <f>($D$6*(H11/100))+($D$6*(H12/100))+($D$6*(H13/100))+($D$6*($H$14/100))+($D$6*(H15/100))+($D$6*(H16/100))+($D$6*(H17/100))+($D$6*(H18/100))</f>
        <v>33500</v>
      </c>
      <c r="I19" s="288">
        <f>($D$6*(I11/100))+($D$6*(I12/100))+($D$6*(I13/100))+($D$6*($I$14/100))+($D$6*(I15/100))+($D$6*(I16/100))+($D$6*(I17/100))+($D$6*(I18/100))</f>
        <v>100500</v>
      </c>
      <c r="J19" s="288">
        <f>($D$6*(J11/100))+($D$6*(J12/100))+($D$6*(J13/100))+($D$6*($J$14/100))+($D$6*(J15/100))+($D$6*(J16/100))+($D$6*(J17/100))+($D$6*(J18/100))</f>
        <v>100500</v>
      </c>
      <c r="K19" s="288">
        <f>($D$6*(K11/100))+($D$6*(K12/100))+($D$6*(K13/100))+($D$6*($K$14/100))+($D$6*(K15/100))+($D$6*(K16/100))+($D$6*(K17/100))+($D$6*(K18/100))</f>
        <v>100500</v>
      </c>
      <c r="L19" s="288">
        <f>($D$6*(L11/100))+($D$6*(L12/100))+($D$6*(L13/100))+($D$6*($L$14/100))+($D$6*(L15/100))+($D$6*(L16/100))+($D$6*(L17/100))+($D$6*(L18/100))</f>
        <v>100500</v>
      </c>
      <c r="M19" s="288">
        <f>($D$6*(M11/100))+($D$6*(M12/100))+($D$6*(M13/100))+($D$6*($M$14/100))+($D$6*(M15/100))+($D$6*(M16/100))+($D$6*(M17/100))+($D$6*(M18/100))</f>
        <v>33500</v>
      </c>
      <c r="N19" s="288">
        <f>($D$6*(N11/100))+($D$6*(N12/100))+($D$6*(N13/100))+($D$6*($N$14/100))+($D$6*(N15/100))+($D$6*(N16/100))+($D$6*(N17/100))+($D$6*(N18/100))</f>
        <v>33500</v>
      </c>
      <c r="O19" s="288">
        <f>($D$6*(O11/100))+($D$6*(O12/100))+($D$6*(O13/100))+($D$6*($O$14/100))+($D$6*(O15/100))+($D$6*(O16/100))+($D$6*(O17/100))+($D$6*(O18/100))</f>
        <v>33500</v>
      </c>
      <c r="P19" s="289">
        <f>($D$6*(P11/100))+($D$6*(P12/100))+($D$6*(P13/100))+($D$6*($P$14/100))+($D$6*(P15/100))+($D$6*(P16/100))+($D$6*(P17/100))+($D$6*(P18/100))</f>
        <v>33500</v>
      </c>
      <c r="Q19" s="7"/>
    </row>
    <row r="20" spans="1:17" ht="13.5" thickBot="1" x14ac:dyDescent="0.25">
      <c r="A20" s="6"/>
      <c r="C20" s="259" t="s">
        <v>410</v>
      </c>
      <c r="D20" s="260"/>
      <c r="E20" s="260">
        <f>(E19*$D$7)</f>
        <v>120600</v>
      </c>
      <c r="F20" s="260">
        <f t="shared" ref="F20:P20" si="2">(F19*$D$7)</f>
        <v>100500</v>
      </c>
      <c r="G20" s="260">
        <f t="shared" si="2"/>
        <v>100500</v>
      </c>
      <c r="H20" s="260">
        <f t="shared" si="2"/>
        <v>100500</v>
      </c>
      <c r="I20" s="260">
        <f t="shared" si="2"/>
        <v>301500</v>
      </c>
      <c r="J20" s="260">
        <f t="shared" si="2"/>
        <v>301500</v>
      </c>
      <c r="K20" s="260">
        <f t="shared" si="2"/>
        <v>301500</v>
      </c>
      <c r="L20" s="260">
        <f t="shared" si="2"/>
        <v>301500</v>
      </c>
      <c r="M20" s="260">
        <f t="shared" si="2"/>
        <v>100500</v>
      </c>
      <c r="N20" s="260">
        <f t="shared" si="2"/>
        <v>100500</v>
      </c>
      <c r="O20" s="260">
        <f t="shared" si="2"/>
        <v>100500</v>
      </c>
      <c r="P20" s="260">
        <f t="shared" si="2"/>
        <v>100500</v>
      </c>
      <c r="Q20" s="7"/>
    </row>
    <row r="21" spans="1:17" x14ac:dyDescent="0.2">
      <c r="A21" s="6"/>
      <c r="Q21" s="7"/>
    </row>
    <row r="22" spans="1:17" x14ac:dyDescent="0.2">
      <c r="A22" s="6"/>
      <c r="Q22" s="7"/>
    </row>
    <row r="23" spans="1:17" ht="13.5" thickBot="1" x14ac:dyDescent="0.25">
      <c r="A23" s="6"/>
      <c r="Q23" s="7"/>
    </row>
    <row r="24" spans="1:17" ht="13.5" thickBot="1" x14ac:dyDescent="0.25">
      <c r="A24" s="6"/>
      <c r="C24" s="43" t="s">
        <v>411</v>
      </c>
      <c r="Q24" s="7"/>
    </row>
    <row r="25" spans="1:17" x14ac:dyDescent="0.2">
      <c r="A25" s="6"/>
      <c r="Q25" s="7"/>
    </row>
    <row r="26" spans="1:17" ht="13.5" thickBot="1" x14ac:dyDescent="0.25">
      <c r="A26" s="6"/>
      <c r="Q26" s="7"/>
    </row>
    <row r="27" spans="1:17" x14ac:dyDescent="0.2">
      <c r="A27" s="6"/>
      <c r="C27" s="186" t="s">
        <v>234</v>
      </c>
      <c r="D27" s="274" t="s">
        <v>41</v>
      </c>
      <c r="E27" s="508" t="s">
        <v>400</v>
      </c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10"/>
      <c r="Q27" s="7"/>
    </row>
    <row r="28" spans="1:17" ht="13.5" thickBot="1" x14ac:dyDescent="0.25">
      <c r="A28" s="6"/>
      <c r="C28" s="194"/>
      <c r="D28" s="275"/>
      <c r="E28" s="360" t="s">
        <v>388</v>
      </c>
      <c r="F28" s="125" t="s">
        <v>389</v>
      </c>
      <c r="G28" s="125" t="s">
        <v>390</v>
      </c>
      <c r="H28" s="125" t="s">
        <v>391</v>
      </c>
      <c r="I28" s="125" t="s">
        <v>392</v>
      </c>
      <c r="J28" s="125" t="s">
        <v>393</v>
      </c>
      <c r="K28" s="125" t="s">
        <v>394</v>
      </c>
      <c r="L28" s="125" t="s">
        <v>395</v>
      </c>
      <c r="M28" s="125" t="s">
        <v>396</v>
      </c>
      <c r="N28" s="125" t="s">
        <v>397</v>
      </c>
      <c r="O28" s="125" t="s">
        <v>398</v>
      </c>
      <c r="P28" s="185" t="s">
        <v>399</v>
      </c>
      <c r="Q28" s="7"/>
    </row>
    <row r="29" spans="1:17" x14ac:dyDescent="0.2">
      <c r="A29" s="6"/>
      <c r="C29" s="264" t="s">
        <v>412</v>
      </c>
      <c r="D29" s="61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6"/>
      <c r="Q29" s="7"/>
    </row>
    <row r="30" spans="1:17" x14ac:dyDescent="0.2">
      <c r="A30" s="6"/>
      <c r="C30" s="262" t="s">
        <v>415</v>
      </c>
      <c r="D30" s="468">
        <f>('Summary - Costing'!D13)</f>
        <v>1500000</v>
      </c>
      <c r="E30" s="402">
        <v>100</v>
      </c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4"/>
      <c r="Q30" s="7"/>
    </row>
    <row r="31" spans="1:17" x14ac:dyDescent="0.2">
      <c r="A31" s="6"/>
      <c r="C31" s="262" t="s">
        <v>416</v>
      </c>
      <c r="D31" s="468">
        <f>('Summary - Costing'!D16)</f>
        <v>251528</v>
      </c>
      <c r="E31" s="402">
        <v>100</v>
      </c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4"/>
      <c r="Q31" s="7"/>
    </row>
    <row r="32" spans="1:17" x14ac:dyDescent="0.2">
      <c r="A32" s="6"/>
      <c r="C32" s="262" t="s">
        <v>418</v>
      </c>
      <c r="D32" s="468">
        <f>('Summary - Costing'!D19)</f>
        <v>381000</v>
      </c>
      <c r="E32" s="402">
        <v>100</v>
      </c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4"/>
      <c r="Q32" s="7"/>
    </row>
    <row r="33" spans="1:17" x14ac:dyDescent="0.2">
      <c r="A33" s="6"/>
      <c r="C33" s="262" t="s">
        <v>417</v>
      </c>
      <c r="D33" s="468">
        <v>0</v>
      </c>
      <c r="E33" s="402">
        <v>100</v>
      </c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4"/>
      <c r="Q33" s="7"/>
    </row>
    <row r="34" spans="1:17" x14ac:dyDescent="0.2">
      <c r="A34" s="6"/>
      <c r="C34" s="262" t="s">
        <v>419</v>
      </c>
      <c r="D34" s="468">
        <f>('Summary - Costing'!D27)</f>
        <v>0</v>
      </c>
      <c r="E34" s="402">
        <v>100</v>
      </c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4"/>
      <c r="Q34" s="7"/>
    </row>
    <row r="35" spans="1:17" x14ac:dyDescent="0.2">
      <c r="A35" s="6"/>
      <c r="C35" s="262" t="s">
        <v>420</v>
      </c>
      <c r="D35" s="468">
        <v>0</v>
      </c>
      <c r="E35" s="402">
        <v>100</v>
      </c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4"/>
      <c r="Q35" s="7"/>
    </row>
    <row r="36" spans="1:17" x14ac:dyDescent="0.2">
      <c r="A36" s="6"/>
      <c r="C36" s="262" t="s">
        <v>421</v>
      </c>
      <c r="D36" s="468">
        <v>0</v>
      </c>
      <c r="E36" s="402">
        <v>100</v>
      </c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4"/>
      <c r="Q36" s="7"/>
    </row>
    <row r="37" spans="1:17" x14ac:dyDescent="0.2">
      <c r="A37" s="6"/>
      <c r="C37" s="262" t="s">
        <v>422</v>
      </c>
      <c r="D37" s="468">
        <v>0</v>
      </c>
      <c r="E37" s="402">
        <v>100</v>
      </c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4"/>
      <c r="Q37" s="7"/>
    </row>
    <row r="38" spans="1:17" x14ac:dyDescent="0.2">
      <c r="A38" s="6"/>
      <c r="C38" s="262" t="s">
        <v>423</v>
      </c>
      <c r="D38" s="468">
        <v>0</v>
      </c>
      <c r="E38" s="402">
        <v>100</v>
      </c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4"/>
      <c r="Q38" s="7"/>
    </row>
    <row r="39" spans="1:17" x14ac:dyDescent="0.2">
      <c r="A39" s="6"/>
      <c r="C39" s="147" t="s">
        <v>424</v>
      </c>
      <c r="D39" s="468">
        <v>0</v>
      </c>
      <c r="E39" s="402">
        <v>100</v>
      </c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4"/>
      <c r="Q39" s="7"/>
    </row>
    <row r="40" spans="1:17" x14ac:dyDescent="0.2">
      <c r="A40" s="6"/>
      <c r="C40" s="147" t="s">
        <v>425</v>
      </c>
      <c r="D40" s="468">
        <v>0</v>
      </c>
      <c r="E40" s="402">
        <v>100</v>
      </c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4"/>
      <c r="Q40" s="7"/>
    </row>
    <row r="41" spans="1:17" ht="13.5" thickBot="1" x14ac:dyDescent="0.25">
      <c r="A41" s="6"/>
      <c r="C41" s="267" t="s">
        <v>426</v>
      </c>
      <c r="D41" s="469">
        <f>('Summary - Costing'!D34)</f>
        <v>190400</v>
      </c>
      <c r="E41" s="402">
        <v>100</v>
      </c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6"/>
      <c r="Q41" s="7"/>
    </row>
    <row r="42" spans="1:17" ht="13.5" thickBot="1" x14ac:dyDescent="0.25">
      <c r="A42" s="6"/>
      <c r="C42" s="276" t="s">
        <v>427</v>
      </c>
      <c r="D42" s="129">
        <f>SUM(D29:D41)</f>
        <v>2322928</v>
      </c>
      <c r="E42" s="129">
        <f>($D$30*(E30/100))+($D$31*(E31/100))+($D$32*(E32/100))+($D$33*(E33/100))+($D$34*(E34/100))+($D$35*(E35/100))+($D$36*(E36/100))+($D$37*(E37/100))+($D$38*(E38/100))+($D$39*(E39/100))+($D$40*(E40/100))+($D$41*(E41/100))</f>
        <v>2322928</v>
      </c>
      <c r="F42" s="129">
        <f t="shared" ref="F42:P42" si="3">($D$30*(F30/100))+($D$31*(F31/100))+($D$32*(F32/100))+($D$33*(F33/100))+($D$34*(F34/100))+($D$35*(F35/100))+($D$36*(F36/100))+($D$37*(F37/100))+($D$38*(F38/100))+($D$39*(F39/100))+($D$40*(F40/100))+($D$41*(F41/100))</f>
        <v>0</v>
      </c>
      <c r="G42" s="129">
        <f t="shared" si="3"/>
        <v>0</v>
      </c>
      <c r="H42" s="129">
        <f t="shared" si="3"/>
        <v>0</v>
      </c>
      <c r="I42" s="129">
        <f t="shared" si="3"/>
        <v>0</v>
      </c>
      <c r="J42" s="129">
        <f t="shared" si="3"/>
        <v>0</v>
      </c>
      <c r="K42" s="129">
        <f t="shared" si="3"/>
        <v>0</v>
      </c>
      <c r="L42" s="129">
        <f t="shared" si="3"/>
        <v>0</v>
      </c>
      <c r="M42" s="129">
        <f t="shared" si="3"/>
        <v>0</v>
      </c>
      <c r="N42" s="129">
        <f t="shared" si="3"/>
        <v>0</v>
      </c>
      <c r="O42" s="129">
        <f t="shared" si="3"/>
        <v>0</v>
      </c>
      <c r="P42" s="130">
        <f t="shared" si="3"/>
        <v>0</v>
      </c>
      <c r="Q42" s="7"/>
    </row>
    <row r="43" spans="1:17" x14ac:dyDescent="0.2">
      <c r="A43" s="6"/>
      <c r="C43" s="263"/>
      <c r="Q43" s="7"/>
    </row>
    <row r="44" spans="1:17" ht="13.5" thickBot="1" x14ac:dyDescent="0.25">
      <c r="A44" s="6"/>
      <c r="C44" s="263"/>
      <c r="Q44" s="7"/>
    </row>
    <row r="45" spans="1:17" x14ac:dyDescent="0.2">
      <c r="A45" s="6"/>
      <c r="C45" s="186" t="s">
        <v>234</v>
      </c>
      <c r="D45" s="274" t="s">
        <v>41</v>
      </c>
      <c r="E45" s="508" t="s">
        <v>400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10"/>
      <c r="Q45" s="7"/>
    </row>
    <row r="46" spans="1:17" ht="13.5" thickBot="1" x14ac:dyDescent="0.25">
      <c r="A46" s="6"/>
      <c r="C46" s="194"/>
      <c r="D46" s="277"/>
      <c r="E46" s="360" t="s">
        <v>388</v>
      </c>
      <c r="F46" s="125" t="s">
        <v>389</v>
      </c>
      <c r="G46" s="125" t="s">
        <v>390</v>
      </c>
      <c r="H46" s="125" t="s">
        <v>391</v>
      </c>
      <c r="I46" s="125" t="s">
        <v>392</v>
      </c>
      <c r="J46" s="125" t="s">
        <v>393</v>
      </c>
      <c r="K46" s="125" t="s">
        <v>394</v>
      </c>
      <c r="L46" s="125" t="s">
        <v>395</v>
      </c>
      <c r="M46" s="125" t="s">
        <v>396</v>
      </c>
      <c r="N46" s="125" t="s">
        <v>397</v>
      </c>
      <c r="O46" s="125" t="s">
        <v>398</v>
      </c>
      <c r="P46" s="185" t="s">
        <v>399</v>
      </c>
      <c r="Q46" s="7"/>
    </row>
    <row r="47" spans="1:17" x14ac:dyDescent="0.2">
      <c r="A47" s="6"/>
      <c r="C47" s="270" t="s">
        <v>411</v>
      </c>
      <c r="D47" s="61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11"/>
      <c r="Q47" s="7"/>
    </row>
    <row r="48" spans="1:17" x14ac:dyDescent="0.2">
      <c r="A48" s="6"/>
      <c r="C48" s="261" t="s">
        <v>434</v>
      </c>
      <c r="D48" s="5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7"/>
    </row>
    <row r="49" spans="1:17" x14ac:dyDescent="0.2">
      <c r="A49" s="6"/>
      <c r="C49" s="268" t="s">
        <v>430</v>
      </c>
      <c r="D49" s="467">
        <v>40000</v>
      </c>
      <c r="E49" s="463"/>
      <c r="F49" s="463"/>
      <c r="G49" s="463"/>
      <c r="H49" s="463"/>
      <c r="I49" s="463"/>
      <c r="J49" s="463">
        <v>50</v>
      </c>
      <c r="K49" s="463"/>
      <c r="L49" s="463"/>
      <c r="M49" s="463"/>
      <c r="N49" s="463"/>
      <c r="O49" s="463"/>
      <c r="P49" s="464">
        <v>50</v>
      </c>
      <c r="Q49" s="7"/>
    </row>
    <row r="50" spans="1:17" x14ac:dyDescent="0.2">
      <c r="A50" s="6"/>
      <c r="C50" s="268" t="s">
        <v>431</v>
      </c>
      <c r="D50" s="467">
        <v>30000</v>
      </c>
      <c r="E50" s="463"/>
      <c r="F50" s="463"/>
      <c r="G50" s="463"/>
      <c r="H50" s="463"/>
      <c r="I50" s="463"/>
      <c r="J50" s="463">
        <v>50</v>
      </c>
      <c r="K50" s="463"/>
      <c r="L50" s="463"/>
      <c r="M50" s="463"/>
      <c r="N50" s="463"/>
      <c r="O50" s="463"/>
      <c r="P50" s="464">
        <v>50</v>
      </c>
      <c r="Q50" s="7"/>
    </row>
    <row r="51" spans="1:17" x14ac:dyDescent="0.2">
      <c r="A51" s="6"/>
      <c r="C51" s="269" t="s">
        <v>185</v>
      </c>
      <c r="D51" s="330">
        <f>('Production Costs'!G46)</f>
        <v>96000</v>
      </c>
      <c r="E51" s="463">
        <v>8</v>
      </c>
      <c r="F51" s="463">
        <v>8</v>
      </c>
      <c r="G51" s="463">
        <v>8</v>
      </c>
      <c r="H51" s="463">
        <v>8</v>
      </c>
      <c r="I51" s="463">
        <v>8</v>
      </c>
      <c r="J51" s="463">
        <v>8</v>
      </c>
      <c r="K51" s="463">
        <v>8</v>
      </c>
      <c r="L51" s="463">
        <v>8</v>
      </c>
      <c r="M51" s="463">
        <v>8</v>
      </c>
      <c r="N51" s="463">
        <v>8</v>
      </c>
      <c r="O51" s="463">
        <v>8</v>
      </c>
      <c r="P51" s="463">
        <v>8</v>
      </c>
      <c r="Q51" s="7"/>
    </row>
    <row r="52" spans="1:17" x14ac:dyDescent="0.2">
      <c r="A52" s="6"/>
      <c r="C52" s="269" t="s">
        <v>186</v>
      </c>
      <c r="D52" s="330">
        <f>('Production Costs'!G47)</f>
        <v>8000</v>
      </c>
      <c r="E52" s="463">
        <v>8</v>
      </c>
      <c r="F52" s="463">
        <v>8</v>
      </c>
      <c r="G52" s="463">
        <v>8</v>
      </c>
      <c r="H52" s="463">
        <v>8</v>
      </c>
      <c r="I52" s="463">
        <v>8</v>
      </c>
      <c r="J52" s="463">
        <v>8</v>
      </c>
      <c r="K52" s="463">
        <v>8</v>
      </c>
      <c r="L52" s="463">
        <v>8</v>
      </c>
      <c r="M52" s="463">
        <v>8</v>
      </c>
      <c r="N52" s="463">
        <v>8</v>
      </c>
      <c r="O52" s="463">
        <v>8</v>
      </c>
      <c r="P52" s="463">
        <v>8</v>
      </c>
      <c r="Q52" s="7"/>
    </row>
    <row r="53" spans="1:17" x14ac:dyDescent="0.2">
      <c r="A53" s="6"/>
      <c r="C53" s="269" t="s">
        <v>187</v>
      </c>
      <c r="D53" s="330">
        <f>('Production Costs'!G48)</f>
        <v>12000</v>
      </c>
      <c r="E53" s="463">
        <v>8</v>
      </c>
      <c r="F53" s="463">
        <v>8</v>
      </c>
      <c r="G53" s="463">
        <v>8</v>
      </c>
      <c r="H53" s="463">
        <v>8</v>
      </c>
      <c r="I53" s="463">
        <v>8</v>
      </c>
      <c r="J53" s="463">
        <v>8</v>
      </c>
      <c r="K53" s="463">
        <v>8</v>
      </c>
      <c r="L53" s="463">
        <v>8</v>
      </c>
      <c r="M53" s="463">
        <v>8</v>
      </c>
      <c r="N53" s="463">
        <v>8</v>
      </c>
      <c r="O53" s="463">
        <v>8</v>
      </c>
      <c r="P53" s="463">
        <v>8</v>
      </c>
      <c r="Q53" s="7"/>
    </row>
    <row r="54" spans="1:17" x14ac:dyDescent="0.2">
      <c r="A54" s="6"/>
      <c r="C54" s="269" t="s">
        <v>191</v>
      </c>
      <c r="D54" s="330">
        <f>('Production Costs'!G49)</f>
        <v>14400</v>
      </c>
      <c r="E54" s="463">
        <v>8</v>
      </c>
      <c r="F54" s="463">
        <v>8</v>
      </c>
      <c r="G54" s="463">
        <v>8</v>
      </c>
      <c r="H54" s="463">
        <v>8</v>
      </c>
      <c r="I54" s="463">
        <v>8</v>
      </c>
      <c r="J54" s="463">
        <v>8</v>
      </c>
      <c r="K54" s="463">
        <v>8</v>
      </c>
      <c r="L54" s="463">
        <v>8</v>
      </c>
      <c r="M54" s="463">
        <v>8</v>
      </c>
      <c r="N54" s="463">
        <v>8</v>
      </c>
      <c r="O54" s="463">
        <v>8</v>
      </c>
      <c r="P54" s="463">
        <v>8</v>
      </c>
      <c r="Q54" s="7"/>
    </row>
    <row r="55" spans="1:17" x14ac:dyDescent="0.2">
      <c r="A55" s="6"/>
      <c r="C55" s="269" t="s">
        <v>193</v>
      </c>
      <c r="D55" s="330">
        <f>('Production Costs'!G50)</f>
        <v>0</v>
      </c>
      <c r="E55" s="463">
        <v>8</v>
      </c>
      <c r="F55" s="463">
        <v>8</v>
      </c>
      <c r="G55" s="463">
        <v>8</v>
      </c>
      <c r="H55" s="463">
        <v>8</v>
      </c>
      <c r="I55" s="463">
        <v>8</v>
      </c>
      <c r="J55" s="463">
        <v>8</v>
      </c>
      <c r="K55" s="463">
        <v>8</v>
      </c>
      <c r="L55" s="463">
        <v>8</v>
      </c>
      <c r="M55" s="463">
        <v>8</v>
      </c>
      <c r="N55" s="463">
        <v>8</v>
      </c>
      <c r="O55" s="463">
        <v>8</v>
      </c>
      <c r="P55" s="463">
        <v>8</v>
      </c>
      <c r="Q55" s="7"/>
    </row>
    <row r="56" spans="1:17" x14ac:dyDescent="0.2">
      <c r="A56" s="6"/>
      <c r="C56" s="269" t="s">
        <v>188</v>
      </c>
      <c r="D56" s="330">
        <f>('Production Costs'!G51)</f>
        <v>360000</v>
      </c>
      <c r="E56" s="463">
        <v>8</v>
      </c>
      <c r="F56" s="463">
        <v>8</v>
      </c>
      <c r="G56" s="463">
        <v>8</v>
      </c>
      <c r="H56" s="463">
        <v>8</v>
      </c>
      <c r="I56" s="463">
        <v>8</v>
      </c>
      <c r="J56" s="463">
        <v>8</v>
      </c>
      <c r="K56" s="463">
        <v>8</v>
      </c>
      <c r="L56" s="463">
        <v>8</v>
      </c>
      <c r="M56" s="463">
        <v>8</v>
      </c>
      <c r="N56" s="463">
        <v>8</v>
      </c>
      <c r="O56" s="463">
        <v>8</v>
      </c>
      <c r="P56" s="463">
        <v>8</v>
      </c>
      <c r="Q56" s="7"/>
    </row>
    <row r="57" spans="1:17" x14ac:dyDescent="0.2">
      <c r="A57" s="6"/>
      <c r="C57" s="269" t="s">
        <v>189</v>
      </c>
      <c r="D57" s="330">
        <f>('Production Costs'!G52)</f>
        <v>30000</v>
      </c>
      <c r="E57" s="463">
        <v>8</v>
      </c>
      <c r="F57" s="463">
        <v>8</v>
      </c>
      <c r="G57" s="463">
        <v>8</v>
      </c>
      <c r="H57" s="463">
        <v>8</v>
      </c>
      <c r="I57" s="463">
        <v>8</v>
      </c>
      <c r="J57" s="463">
        <v>8</v>
      </c>
      <c r="K57" s="463">
        <v>8</v>
      </c>
      <c r="L57" s="463">
        <v>8</v>
      </c>
      <c r="M57" s="463">
        <v>8</v>
      </c>
      <c r="N57" s="463">
        <v>8</v>
      </c>
      <c r="O57" s="463">
        <v>8</v>
      </c>
      <c r="P57" s="463">
        <v>8</v>
      </c>
      <c r="Q57" s="7"/>
    </row>
    <row r="58" spans="1:17" x14ac:dyDescent="0.2">
      <c r="A58" s="6"/>
      <c r="C58" s="269" t="s">
        <v>190</v>
      </c>
      <c r="D58" s="330">
        <f>('Production Costs'!G53)</f>
        <v>144000</v>
      </c>
      <c r="E58" s="463">
        <v>8</v>
      </c>
      <c r="F58" s="463">
        <v>8</v>
      </c>
      <c r="G58" s="463">
        <v>8</v>
      </c>
      <c r="H58" s="463">
        <v>8</v>
      </c>
      <c r="I58" s="463">
        <v>8</v>
      </c>
      <c r="J58" s="463">
        <v>8</v>
      </c>
      <c r="K58" s="463">
        <v>8</v>
      </c>
      <c r="L58" s="463">
        <v>8</v>
      </c>
      <c r="M58" s="463">
        <v>8</v>
      </c>
      <c r="N58" s="463">
        <v>8</v>
      </c>
      <c r="O58" s="463">
        <v>8</v>
      </c>
      <c r="P58" s="463">
        <v>8</v>
      </c>
      <c r="Q58" s="7"/>
    </row>
    <row r="59" spans="1:17" x14ac:dyDescent="0.2">
      <c r="A59" s="6"/>
      <c r="C59" s="269" t="s">
        <v>192</v>
      </c>
      <c r="D59" s="330">
        <f>('Production Costs'!G54)</f>
        <v>90000</v>
      </c>
      <c r="E59" s="463">
        <v>8</v>
      </c>
      <c r="F59" s="463">
        <v>8</v>
      </c>
      <c r="G59" s="463">
        <v>8</v>
      </c>
      <c r="H59" s="463">
        <v>8</v>
      </c>
      <c r="I59" s="463">
        <v>8</v>
      </c>
      <c r="J59" s="463">
        <v>8</v>
      </c>
      <c r="K59" s="463">
        <v>8</v>
      </c>
      <c r="L59" s="463">
        <v>8</v>
      </c>
      <c r="M59" s="463">
        <v>8</v>
      </c>
      <c r="N59" s="463">
        <v>8</v>
      </c>
      <c r="O59" s="463">
        <v>8</v>
      </c>
      <c r="P59" s="463">
        <v>8</v>
      </c>
      <c r="Q59" s="7"/>
    </row>
    <row r="60" spans="1:17" ht="13.5" thickBot="1" x14ac:dyDescent="0.25">
      <c r="A60" s="6"/>
      <c r="C60" s="271" t="s">
        <v>194</v>
      </c>
      <c r="D60" s="330">
        <f>('Production Costs'!G55)</f>
        <v>0</v>
      </c>
      <c r="E60" s="463">
        <v>8</v>
      </c>
      <c r="F60" s="463">
        <v>8</v>
      </c>
      <c r="G60" s="463">
        <v>8</v>
      </c>
      <c r="H60" s="463">
        <v>8</v>
      </c>
      <c r="I60" s="463">
        <v>8</v>
      </c>
      <c r="J60" s="463">
        <v>8</v>
      </c>
      <c r="K60" s="463">
        <v>8</v>
      </c>
      <c r="L60" s="463">
        <v>8</v>
      </c>
      <c r="M60" s="463">
        <v>8</v>
      </c>
      <c r="N60" s="463">
        <v>8</v>
      </c>
      <c r="O60" s="463">
        <v>8</v>
      </c>
      <c r="P60" s="463">
        <v>8</v>
      </c>
      <c r="Q60" s="7"/>
    </row>
    <row r="61" spans="1:17" ht="13.5" thickBot="1" x14ac:dyDescent="0.25">
      <c r="A61" s="6"/>
      <c r="C61" s="278" t="s">
        <v>433</v>
      </c>
      <c r="D61" s="129">
        <f>SUM(D47:D60)</f>
        <v>824400</v>
      </c>
      <c r="E61" s="129">
        <f>($D$49*(E49/100))+($D$50*(E50/100))+($D$51*(E51/100))+($D$52*(E52/100))+($D$53*(E53/100))+($D$54*(E54/100))+($D$55*(E55/100))+($D$56*(E56/100))+($D$57*(E57/100))+($D$58*(E58/100))+($D$59*(E59/100))+($D$60*(E60/100))</f>
        <v>60352</v>
      </c>
      <c r="F61" s="129">
        <f t="shared" ref="F61:P61" si="4">($D$49*(F49/100))+($D$50*(F50/100))+($D$51*(F51/100))+($D$52*(F52/100))+($D$53*(F53/100))+($D$54*(F54/100))+($D$55*(F55/100))+($D$56*(F56/100))+($D$57*(F57/100))+($D$58*(F58/100))+($D$59*(F59/100))+($D$60*(F60/100))</f>
        <v>60352</v>
      </c>
      <c r="G61" s="129">
        <f t="shared" si="4"/>
        <v>60352</v>
      </c>
      <c r="H61" s="129">
        <f t="shared" si="4"/>
        <v>60352</v>
      </c>
      <c r="I61" s="129">
        <f t="shared" si="4"/>
        <v>60352</v>
      </c>
      <c r="J61" s="129">
        <f t="shared" si="4"/>
        <v>95352</v>
      </c>
      <c r="K61" s="129">
        <f t="shared" si="4"/>
        <v>60352</v>
      </c>
      <c r="L61" s="129">
        <f t="shared" si="4"/>
        <v>60352</v>
      </c>
      <c r="M61" s="129">
        <f t="shared" si="4"/>
        <v>60352</v>
      </c>
      <c r="N61" s="129">
        <f t="shared" si="4"/>
        <v>60352</v>
      </c>
      <c r="O61" s="129">
        <f t="shared" si="4"/>
        <v>60352</v>
      </c>
      <c r="P61" s="130">
        <f t="shared" si="4"/>
        <v>95352</v>
      </c>
      <c r="Q61" s="7"/>
    </row>
    <row r="62" spans="1:17" ht="13.5" thickBot="1" x14ac:dyDescent="0.25">
      <c r="A62" s="26"/>
      <c r="B62" s="27"/>
      <c r="C62" s="284"/>
      <c r="D62" s="11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8"/>
    </row>
    <row r="63" spans="1:17" ht="13.5" thickBot="1" x14ac:dyDescent="0.25">
      <c r="A63" s="21"/>
      <c r="B63" s="285" t="s">
        <v>386</v>
      </c>
      <c r="C63" s="285"/>
      <c r="D63" s="331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6" t="s">
        <v>452</v>
      </c>
      <c r="P63" s="285"/>
      <c r="Q63" s="23"/>
    </row>
    <row r="64" spans="1:17" x14ac:dyDescent="0.2">
      <c r="A64" s="6"/>
      <c r="C64" s="186" t="s">
        <v>234</v>
      </c>
      <c r="D64" s="332" t="s">
        <v>41</v>
      </c>
      <c r="E64" s="508" t="s">
        <v>400</v>
      </c>
      <c r="F64" s="509"/>
      <c r="G64" s="509"/>
      <c r="H64" s="509"/>
      <c r="I64" s="509"/>
      <c r="J64" s="509"/>
      <c r="K64" s="509"/>
      <c r="L64" s="509"/>
      <c r="M64" s="509"/>
      <c r="N64" s="509"/>
      <c r="O64" s="509"/>
      <c r="P64" s="510"/>
      <c r="Q64" s="7"/>
    </row>
    <row r="65" spans="1:17" ht="13.5" thickBot="1" x14ac:dyDescent="0.25">
      <c r="A65" s="6"/>
      <c r="C65" s="190"/>
      <c r="D65" s="333"/>
      <c r="E65" s="361" t="s">
        <v>388</v>
      </c>
      <c r="F65" s="136" t="s">
        <v>389</v>
      </c>
      <c r="G65" s="136" t="s">
        <v>390</v>
      </c>
      <c r="H65" s="136" t="s">
        <v>391</v>
      </c>
      <c r="I65" s="136" t="s">
        <v>392</v>
      </c>
      <c r="J65" s="136" t="s">
        <v>393</v>
      </c>
      <c r="K65" s="136" t="s">
        <v>394</v>
      </c>
      <c r="L65" s="136" t="s">
        <v>395</v>
      </c>
      <c r="M65" s="136" t="s">
        <v>396</v>
      </c>
      <c r="N65" s="136" t="s">
        <v>397</v>
      </c>
      <c r="O65" s="136" t="s">
        <v>398</v>
      </c>
      <c r="P65" s="362" t="s">
        <v>399</v>
      </c>
      <c r="Q65" s="7"/>
    </row>
    <row r="66" spans="1:17" x14ac:dyDescent="0.2">
      <c r="A66" s="6"/>
      <c r="C66" s="485" t="s">
        <v>432</v>
      </c>
      <c r="D66" s="334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109"/>
      <c r="Q66" s="7"/>
    </row>
    <row r="67" spans="1:17" x14ac:dyDescent="0.2">
      <c r="A67" s="6"/>
      <c r="C67" s="147" t="s">
        <v>158</v>
      </c>
      <c r="D67" s="468">
        <f>('Production Costs'!G13)</f>
        <v>0</v>
      </c>
      <c r="E67" s="463"/>
      <c r="F67" s="463">
        <v>50</v>
      </c>
      <c r="G67" s="463"/>
      <c r="H67" s="463"/>
      <c r="I67" s="463"/>
      <c r="J67" s="463">
        <v>50</v>
      </c>
      <c r="K67" s="463"/>
      <c r="L67" s="463"/>
      <c r="M67" s="463"/>
      <c r="N67" s="463"/>
      <c r="O67" s="463"/>
      <c r="P67" s="464"/>
      <c r="Q67" s="7"/>
    </row>
    <row r="68" spans="1:17" x14ac:dyDescent="0.2">
      <c r="A68" s="6"/>
      <c r="C68" s="147" t="s">
        <v>165</v>
      </c>
      <c r="D68" s="330">
        <f>('Production Costs'!G19)</f>
        <v>0</v>
      </c>
      <c r="E68" s="463"/>
      <c r="F68" s="463">
        <v>50</v>
      </c>
      <c r="G68" s="463"/>
      <c r="H68" s="463"/>
      <c r="I68" s="463"/>
      <c r="J68" s="463">
        <v>50</v>
      </c>
      <c r="K68" s="463"/>
      <c r="L68" s="463"/>
      <c r="M68" s="463"/>
      <c r="N68" s="463"/>
      <c r="O68" s="463"/>
      <c r="P68" s="464"/>
      <c r="Q68" s="7"/>
    </row>
    <row r="69" spans="1:17" x14ac:dyDescent="0.2">
      <c r="A69" s="6"/>
      <c r="C69" s="147" t="s">
        <v>167</v>
      </c>
      <c r="D69" s="330">
        <f>('Production Costs'!G20)</f>
        <v>13200</v>
      </c>
      <c r="E69" s="463"/>
      <c r="F69" s="463">
        <v>50</v>
      </c>
      <c r="G69" s="463"/>
      <c r="H69" s="463"/>
      <c r="I69" s="463"/>
      <c r="J69" s="463">
        <v>50</v>
      </c>
      <c r="K69" s="463"/>
      <c r="L69" s="463"/>
      <c r="M69" s="463"/>
      <c r="N69" s="463"/>
      <c r="O69" s="463"/>
      <c r="P69" s="464"/>
      <c r="Q69" s="7"/>
    </row>
    <row r="70" spans="1:17" x14ac:dyDescent="0.2">
      <c r="A70" s="6"/>
      <c r="C70" s="147" t="s">
        <v>168</v>
      </c>
      <c r="D70" s="330">
        <f>('Production Costs'!G21)</f>
        <v>0</v>
      </c>
      <c r="E70" s="463"/>
      <c r="F70" s="463">
        <v>25</v>
      </c>
      <c r="G70" s="463"/>
      <c r="H70" s="463"/>
      <c r="I70" s="463">
        <v>25</v>
      </c>
      <c r="J70" s="463"/>
      <c r="K70" s="463"/>
      <c r="L70" s="463">
        <v>25</v>
      </c>
      <c r="M70" s="463"/>
      <c r="N70" s="463"/>
      <c r="O70" s="463">
        <v>25</v>
      </c>
      <c r="P70" s="464"/>
      <c r="Q70" s="7"/>
    </row>
    <row r="71" spans="1:17" x14ac:dyDescent="0.2">
      <c r="A71" s="6"/>
      <c r="C71" s="147" t="s">
        <v>170</v>
      </c>
      <c r="D71" s="330">
        <f>('Production Costs'!G22)</f>
        <v>144000</v>
      </c>
      <c r="E71" s="463"/>
      <c r="F71" s="463">
        <v>50</v>
      </c>
      <c r="G71" s="463"/>
      <c r="H71" s="463"/>
      <c r="I71" s="463"/>
      <c r="J71" s="463">
        <v>50</v>
      </c>
      <c r="K71" s="463"/>
      <c r="L71" s="463"/>
      <c r="M71" s="463"/>
      <c r="N71" s="463"/>
      <c r="O71" s="463"/>
      <c r="P71" s="464"/>
      <c r="Q71" s="7"/>
    </row>
    <row r="72" spans="1:17" x14ac:dyDescent="0.2">
      <c r="A72" s="6"/>
      <c r="C72" s="147" t="s">
        <v>171</v>
      </c>
      <c r="D72" s="330">
        <f>('Production Costs'!G23)</f>
        <v>40000</v>
      </c>
      <c r="E72" s="463"/>
      <c r="F72" s="463">
        <v>50</v>
      </c>
      <c r="G72" s="463"/>
      <c r="H72" s="463"/>
      <c r="I72" s="463"/>
      <c r="J72" s="463">
        <v>50</v>
      </c>
      <c r="K72" s="463"/>
      <c r="L72" s="463"/>
      <c r="M72" s="463"/>
      <c r="N72" s="463"/>
      <c r="O72" s="463"/>
      <c r="P72" s="464"/>
      <c r="Q72" s="7"/>
    </row>
    <row r="73" spans="1:17" x14ac:dyDescent="0.2">
      <c r="A73" s="6"/>
      <c r="C73" s="147" t="s">
        <v>378</v>
      </c>
      <c r="D73" s="330">
        <f>('Production Costs'!G24)</f>
        <v>0</v>
      </c>
      <c r="E73" s="463"/>
      <c r="F73" s="463">
        <v>50</v>
      </c>
      <c r="G73" s="463"/>
      <c r="H73" s="463"/>
      <c r="I73" s="463"/>
      <c r="J73" s="463">
        <v>50</v>
      </c>
      <c r="K73" s="463"/>
      <c r="L73" s="463"/>
      <c r="M73" s="463"/>
      <c r="N73" s="463"/>
      <c r="O73" s="463"/>
      <c r="P73" s="464"/>
      <c r="Q73" s="7"/>
    </row>
    <row r="74" spans="1:17" x14ac:dyDescent="0.2">
      <c r="A74" s="6"/>
      <c r="C74" s="147" t="s">
        <v>175</v>
      </c>
      <c r="D74" s="330">
        <f>('Production Costs'!G25)</f>
        <v>7500</v>
      </c>
      <c r="E74" s="463"/>
      <c r="F74" s="463">
        <v>50</v>
      </c>
      <c r="G74" s="463"/>
      <c r="H74" s="463"/>
      <c r="I74" s="463"/>
      <c r="J74" s="463">
        <v>50</v>
      </c>
      <c r="K74" s="463"/>
      <c r="L74" s="463"/>
      <c r="M74" s="463"/>
      <c r="N74" s="463"/>
      <c r="O74" s="463"/>
      <c r="P74" s="464"/>
      <c r="Q74" s="7"/>
    </row>
    <row r="75" spans="1:17" x14ac:dyDescent="0.2">
      <c r="A75" s="6"/>
      <c r="C75" s="147" t="s">
        <v>379</v>
      </c>
      <c r="D75" s="330">
        <f>('Production Costs'!G26)</f>
        <v>500</v>
      </c>
      <c r="E75" s="463"/>
      <c r="F75" s="463">
        <v>50</v>
      </c>
      <c r="G75" s="463"/>
      <c r="H75" s="463"/>
      <c r="I75" s="463"/>
      <c r="J75" s="463">
        <v>50</v>
      </c>
      <c r="K75" s="463"/>
      <c r="L75" s="463"/>
      <c r="M75" s="463"/>
      <c r="N75" s="463"/>
      <c r="O75" s="463"/>
      <c r="P75" s="464"/>
      <c r="Q75" s="7"/>
    </row>
    <row r="76" spans="1:17" x14ac:dyDescent="0.2">
      <c r="A76" s="6"/>
      <c r="C76" s="147" t="s">
        <v>380</v>
      </c>
      <c r="D76" s="330">
        <f>('Production Costs'!G27)</f>
        <v>100</v>
      </c>
      <c r="E76" s="463"/>
      <c r="F76" s="463">
        <v>50</v>
      </c>
      <c r="G76" s="463"/>
      <c r="H76" s="463"/>
      <c r="I76" s="463"/>
      <c r="J76" s="463">
        <v>50</v>
      </c>
      <c r="K76" s="463"/>
      <c r="L76" s="463"/>
      <c r="M76" s="463"/>
      <c r="N76" s="463"/>
      <c r="O76" s="463"/>
      <c r="P76" s="464"/>
      <c r="Q76" s="7"/>
    </row>
    <row r="77" spans="1:17" x14ac:dyDescent="0.2">
      <c r="A77" s="6"/>
      <c r="C77" s="147" t="s">
        <v>381</v>
      </c>
      <c r="D77" s="330">
        <f>('Production Costs'!G28)</f>
        <v>7200</v>
      </c>
      <c r="E77" s="463"/>
      <c r="F77" s="463">
        <v>25</v>
      </c>
      <c r="G77" s="463"/>
      <c r="H77" s="463"/>
      <c r="I77" s="463">
        <v>25</v>
      </c>
      <c r="J77" s="463"/>
      <c r="K77" s="463"/>
      <c r="L77" s="463">
        <v>25</v>
      </c>
      <c r="M77" s="463"/>
      <c r="N77" s="463"/>
      <c r="O77" s="463">
        <v>25</v>
      </c>
      <c r="P77" s="464"/>
      <c r="Q77" s="7"/>
    </row>
    <row r="78" spans="1:17" x14ac:dyDescent="0.2">
      <c r="A78" s="6"/>
      <c r="C78" s="147" t="s">
        <v>382</v>
      </c>
      <c r="D78" s="330">
        <f>('Production Costs'!G29)</f>
        <v>7200</v>
      </c>
      <c r="E78" s="463"/>
      <c r="F78" s="463">
        <v>50</v>
      </c>
      <c r="G78" s="463"/>
      <c r="H78" s="463"/>
      <c r="I78" s="463"/>
      <c r="J78" s="463">
        <v>50</v>
      </c>
      <c r="K78" s="463"/>
      <c r="L78" s="463"/>
      <c r="M78" s="463"/>
      <c r="N78" s="463"/>
      <c r="O78" s="463"/>
      <c r="P78" s="464"/>
      <c r="Q78" s="7"/>
    </row>
    <row r="79" spans="1:17" x14ac:dyDescent="0.2">
      <c r="A79" s="6"/>
      <c r="C79" s="147" t="s">
        <v>196</v>
      </c>
      <c r="D79" s="330">
        <f>SUM('Production Costs'!G31:G33)</f>
        <v>0</v>
      </c>
      <c r="E79" s="463"/>
      <c r="F79" s="463">
        <v>50</v>
      </c>
      <c r="G79" s="463"/>
      <c r="H79" s="463"/>
      <c r="I79" s="463"/>
      <c r="J79" s="463">
        <v>50</v>
      </c>
      <c r="K79" s="463"/>
      <c r="L79" s="463"/>
      <c r="M79" s="463"/>
      <c r="N79" s="463"/>
      <c r="O79" s="463"/>
      <c r="P79" s="464"/>
      <c r="Q79" s="7"/>
    </row>
    <row r="80" spans="1:17" x14ac:dyDescent="0.2">
      <c r="A80" s="6"/>
      <c r="C80" s="147" t="s">
        <v>260</v>
      </c>
      <c r="D80" s="330">
        <f>('Production Costs'!G34)</f>
        <v>0</v>
      </c>
      <c r="E80" s="463"/>
      <c r="F80" s="463">
        <v>50</v>
      </c>
      <c r="G80" s="463"/>
      <c r="H80" s="463"/>
      <c r="I80" s="463"/>
      <c r="J80" s="463">
        <v>50</v>
      </c>
      <c r="K80" s="463"/>
      <c r="L80" s="463"/>
      <c r="M80" s="463"/>
      <c r="N80" s="463"/>
      <c r="O80" s="463"/>
      <c r="P80" s="464"/>
      <c r="Q80" s="7"/>
    </row>
    <row r="81" spans="1:17" x14ac:dyDescent="0.2">
      <c r="A81" s="6"/>
      <c r="C81" s="147" t="s">
        <v>261</v>
      </c>
      <c r="D81" s="330">
        <f>SUM('Production Costs'!G36:G39)</f>
        <v>4800</v>
      </c>
      <c r="E81" s="463"/>
      <c r="F81" s="463">
        <v>50</v>
      </c>
      <c r="G81" s="463"/>
      <c r="H81" s="463"/>
      <c r="I81" s="463"/>
      <c r="J81" s="463">
        <v>50</v>
      </c>
      <c r="K81" s="463"/>
      <c r="L81" s="463"/>
      <c r="M81" s="463"/>
      <c r="N81" s="463"/>
      <c r="O81" s="463"/>
      <c r="P81" s="464"/>
      <c r="Q81" s="7"/>
    </row>
    <row r="82" spans="1:17" x14ac:dyDescent="0.2">
      <c r="A82" s="6"/>
      <c r="C82" s="147" t="s">
        <v>44</v>
      </c>
      <c r="D82" s="330">
        <f>('Production Costs'!G40)</f>
        <v>6750</v>
      </c>
      <c r="E82" s="484">
        <f t="shared" ref="E82:P82" si="5">100/12</f>
        <v>8.3333333333333339</v>
      </c>
      <c r="F82" s="484">
        <f t="shared" si="5"/>
        <v>8.3333333333333339</v>
      </c>
      <c r="G82" s="484">
        <f t="shared" si="5"/>
        <v>8.3333333333333339</v>
      </c>
      <c r="H82" s="484">
        <f t="shared" si="5"/>
        <v>8.3333333333333339</v>
      </c>
      <c r="I82" s="484">
        <f t="shared" si="5"/>
        <v>8.3333333333333339</v>
      </c>
      <c r="J82" s="484">
        <f t="shared" si="5"/>
        <v>8.3333333333333339</v>
      </c>
      <c r="K82" s="484">
        <f t="shared" si="5"/>
        <v>8.3333333333333339</v>
      </c>
      <c r="L82" s="484">
        <f t="shared" si="5"/>
        <v>8.3333333333333339</v>
      </c>
      <c r="M82" s="484">
        <f t="shared" si="5"/>
        <v>8.3333333333333339</v>
      </c>
      <c r="N82" s="484">
        <f t="shared" si="5"/>
        <v>8.3333333333333339</v>
      </c>
      <c r="O82" s="484">
        <f t="shared" si="5"/>
        <v>8.3333333333333339</v>
      </c>
      <c r="P82" s="484">
        <f t="shared" si="5"/>
        <v>8.3333333333333339</v>
      </c>
      <c r="Q82" s="7"/>
    </row>
    <row r="83" spans="1:17" x14ac:dyDescent="0.2">
      <c r="A83" s="6"/>
      <c r="C83" s="147" t="s">
        <v>182</v>
      </c>
      <c r="D83" s="330">
        <f>('Production Costs'!G41)</f>
        <v>5000</v>
      </c>
      <c r="E83" s="463"/>
      <c r="F83" s="463">
        <v>50</v>
      </c>
      <c r="G83" s="463"/>
      <c r="H83" s="463"/>
      <c r="I83" s="463"/>
      <c r="J83" s="463">
        <v>50</v>
      </c>
      <c r="K83" s="463"/>
      <c r="L83" s="463"/>
      <c r="M83" s="463"/>
      <c r="N83" s="463"/>
      <c r="O83" s="463"/>
      <c r="P83" s="464"/>
      <c r="Q83" s="7"/>
    </row>
    <row r="84" spans="1:17" x14ac:dyDescent="0.2">
      <c r="A84" s="6"/>
      <c r="C84" s="147" t="s">
        <v>183</v>
      </c>
      <c r="D84" s="330">
        <f>('Production Costs'!G42)</f>
        <v>0</v>
      </c>
      <c r="E84" s="463"/>
      <c r="F84" s="463">
        <v>50</v>
      </c>
      <c r="G84" s="463"/>
      <c r="H84" s="463"/>
      <c r="I84" s="463"/>
      <c r="J84" s="463">
        <v>50</v>
      </c>
      <c r="K84" s="463"/>
      <c r="L84" s="463"/>
      <c r="M84" s="463"/>
      <c r="N84" s="463"/>
      <c r="O84" s="463"/>
      <c r="P84" s="464"/>
      <c r="Q84" s="7"/>
    </row>
    <row r="85" spans="1:17" x14ac:dyDescent="0.2">
      <c r="A85" s="6"/>
      <c r="C85" s="147" t="s">
        <v>200</v>
      </c>
      <c r="D85" s="330">
        <f>('Production Costs'!G43)</f>
        <v>20000</v>
      </c>
      <c r="E85" s="463"/>
      <c r="F85" s="463">
        <v>50</v>
      </c>
      <c r="G85" s="463"/>
      <c r="H85" s="463"/>
      <c r="I85" s="463"/>
      <c r="J85" s="463">
        <v>50</v>
      </c>
      <c r="K85" s="463"/>
      <c r="L85" s="463"/>
      <c r="M85" s="463"/>
      <c r="N85" s="463"/>
      <c r="O85" s="463"/>
      <c r="P85" s="464"/>
      <c r="Q85" s="7"/>
    </row>
    <row r="86" spans="1:17" x14ac:dyDescent="0.2">
      <c r="A86" s="6"/>
      <c r="C86" s="147" t="s">
        <v>201</v>
      </c>
      <c r="D86" s="330">
        <f>('Production Costs'!G44)</f>
        <v>15000</v>
      </c>
      <c r="E86" s="463"/>
      <c r="F86" s="463">
        <v>50</v>
      </c>
      <c r="G86" s="463"/>
      <c r="H86" s="463"/>
      <c r="I86" s="463"/>
      <c r="J86" s="463">
        <v>50</v>
      </c>
      <c r="K86" s="463"/>
      <c r="L86" s="463"/>
      <c r="M86" s="463"/>
      <c r="N86" s="463"/>
      <c r="O86" s="463"/>
      <c r="P86" s="464"/>
      <c r="Q86" s="7"/>
    </row>
    <row r="87" spans="1:17" x14ac:dyDescent="0.2">
      <c r="A87" s="6"/>
      <c r="C87" s="147" t="s">
        <v>195</v>
      </c>
      <c r="D87" s="330">
        <f>('Production Costs'!G56)</f>
        <v>0</v>
      </c>
      <c r="E87" s="463"/>
      <c r="F87" s="463">
        <v>50</v>
      </c>
      <c r="G87" s="463"/>
      <c r="H87" s="463"/>
      <c r="I87" s="463"/>
      <c r="J87" s="463">
        <v>50</v>
      </c>
      <c r="K87" s="463"/>
      <c r="L87" s="463"/>
      <c r="M87" s="463"/>
      <c r="N87" s="463"/>
      <c r="O87" s="463"/>
      <c r="P87" s="464"/>
      <c r="Q87" s="7"/>
    </row>
    <row r="88" spans="1:17" x14ac:dyDescent="0.2">
      <c r="A88" s="6"/>
      <c r="C88" s="147" t="s">
        <v>413</v>
      </c>
      <c r="D88" s="468">
        <f>('Summary - Costing'!D48)</f>
        <v>25000</v>
      </c>
      <c r="E88" s="463"/>
      <c r="F88" s="463">
        <v>50</v>
      </c>
      <c r="G88" s="463"/>
      <c r="H88" s="463"/>
      <c r="I88" s="463"/>
      <c r="J88" s="463">
        <v>50</v>
      </c>
      <c r="K88" s="463"/>
      <c r="L88" s="463"/>
      <c r="M88" s="463"/>
      <c r="N88" s="463"/>
      <c r="O88" s="463"/>
      <c r="P88" s="464"/>
      <c r="Q88" s="7"/>
    </row>
    <row r="89" spans="1:17" x14ac:dyDescent="0.2">
      <c r="A89" s="6"/>
      <c r="C89" s="147" t="s">
        <v>414</v>
      </c>
      <c r="D89" s="468">
        <v>0</v>
      </c>
      <c r="E89" s="463"/>
      <c r="F89" s="463">
        <v>50</v>
      </c>
      <c r="G89" s="463"/>
      <c r="H89" s="463"/>
      <c r="I89" s="463"/>
      <c r="J89" s="463">
        <v>50</v>
      </c>
      <c r="K89" s="463"/>
      <c r="L89" s="463"/>
      <c r="M89" s="463"/>
      <c r="N89" s="463"/>
      <c r="O89" s="463"/>
      <c r="P89" s="464"/>
      <c r="Q89" s="7"/>
    </row>
    <row r="90" spans="1:17" x14ac:dyDescent="0.2">
      <c r="A90" s="6"/>
      <c r="C90" s="147" t="s">
        <v>429</v>
      </c>
      <c r="D90" s="468">
        <v>0</v>
      </c>
      <c r="E90" s="463"/>
      <c r="F90" s="463">
        <v>50</v>
      </c>
      <c r="G90" s="463"/>
      <c r="H90" s="463"/>
      <c r="I90" s="463"/>
      <c r="J90" s="463">
        <v>50</v>
      </c>
      <c r="K90" s="463"/>
      <c r="L90" s="463"/>
      <c r="M90" s="463"/>
      <c r="N90" s="463"/>
      <c r="O90" s="463"/>
      <c r="P90" s="464"/>
      <c r="Q90" s="7"/>
    </row>
    <row r="91" spans="1:17" ht="13.5" thickBot="1" x14ac:dyDescent="0.25">
      <c r="A91" s="6"/>
      <c r="C91" s="9" t="s">
        <v>428</v>
      </c>
      <c r="D91" s="469">
        <v>5000</v>
      </c>
      <c r="E91" s="463"/>
      <c r="F91" s="463">
        <v>50</v>
      </c>
      <c r="G91" s="463"/>
      <c r="H91" s="463"/>
      <c r="I91" s="463"/>
      <c r="J91" s="463">
        <v>50</v>
      </c>
      <c r="K91" s="465"/>
      <c r="L91" s="465"/>
      <c r="M91" s="465"/>
      <c r="N91" s="465"/>
      <c r="O91" s="465"/>
      <c r="P91" s="466"/>
      <c r="Q91" s="7"/>
    </row>
    <row r="92" spans="1:17" ht="13.5" thickBot="1" x14ac:dyDescent="0.25">
      <c r="A92" s="6"/>
      <c r="C92" s="279" t="s">
        <v>435</v>
      </c>
      <c r="D92" s="129">
        <f>SUM(D66:D91)</f>
        <v>301250</v>
      </c>
      <c r="E92" s="140">
        <f>($D67*(E67/100))+($D68*(E68/100))+($D69*(E69/100))+($D70*(E70/100))+($D71*(E71/100))+($D72*(E72/100))+($D73*(E73/100))+($D74*(E74/100))+($D75*(E75/100))+($D76*(E76/100))+($D77*(E77/100))+($D78*(E78/100))+($D79*(E79/100))+($D80*(E80/100))+($D81*(E81/100))+($D82*(E82/100))+($D83*(E83/100))+($D84*(E84/100))+($D85*(E85/100))+($D86*(E86/100))+($D87*(E87/100))+($D88*(E88/100))+($D89*(E89/100))+($D90*(E90/100))+($D91*(E91/100))</f>
        <v>562.50000000000011</v>
      </c>
      <c r="F92" s="140">
        <f t="shared" ref="F92:P92" si="6">($D67*(F67/100))+($D68*(F68/100))+($D69*(F69/100))+($D70*(F70/100))+($D71*(F71/100))+($D72*(F72/100))+($D73*(F73/100))+($D74*(F74/100))+($D75*(F75/100))+($D76*(F76/100))+($D77*(F77/100))+($D78*(F78/100))+($D79*(F79/100))+($D80*(F80/100))+($D81*(F81/100))+($D82*(F82/100))+($D83*(F83/100))+($D84*(F84/100))+($D85*(F85/100))+($D86*(F86/100))+($D87*(F87/100))+($D88*(F88/100))+($D89*(F89/100))+($D90*(F90/100))+($D91*(F91/100))</f>
        <v>146012.5</v>
      </c>
      <c r="G92" s="140">
        <f t="shared" si="6"/>
        <v>562.50000000000011</v>
      </c>
      <c r="H92" s="140">
        <f t="shared" si="6"/>
        <v>562.50000000000011</v>
      </c>
      <c r="I92" s="140">
        <f t="shared" si="6"/>
        <v>2362.5</v>
      </c>
      <c r="J92" s="140">
        <f t="shared" si="6"/>
        <v>144212.5</v>
      </c>
      <c r="K92" s="140">
        <f t="shared" si="6"/>
        <v>562.50000000000011</v>
      </c>
      <c r="L92" s="140">
        <f t="shared" si="6"/>
        <v>2362.5</v>
      </c>
      <c r="M92" s="140">
        <f t="shared" si="6"/>
        <v>562.50000000000011</v>
      </c>
      <c r="N92" s="140">
        <f t="shared" si="6"/>
        <v>562.50000000000011</v>
      </c>
      <c r="O92" s="140">
        <f t="shared" si="6"/>
        <v>2362.5</v>
      </c>
      <c r="P92" s="17">
        <f t="shared" si="6"/>
        <v>562.50000000000011</v>
      </c>
      <c r="Q92" s="7"/>
    </row>
    <row r="93" spans="1:17" ht="13.5" thickBot="1" x14ac:dyDescent="0.25">
      <c r="A93" s="26"/>
      <c r="B93" s="27"/>
      <c r="C93" s="27"/>
      <c r="D93" s="11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8"/>
    </row>
    <row r="94" spans="1:17" ht="13.5" thickBot="1" x14ac:dyDescent="0.25">
      <c r="A94" s="21"/>
      <c r="B94" s="285" t="s">
        <v>386</v>
      </c>
      <c r="C94" s="285"/>
      <c r="D94" s="331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6" t="s">
        <v>453</v>
      </c>
      <c r="P94" s="285"/>
      <c r="Q94" s="23"/>
    </row>
    <row r="95" spans="1:17" x14ac:dyDescent="0.2">
      <c r="A95" s="6"/>
      <c r="C95" s="186" t="s">
        <v>234</v>
      </c>
      <c r="D95" s="332" t="s">
        <v>41</v>
      </c>
      <c r="E95" s="508" t="s">
        <v>400</v>
      </c>
      <c r="F95" s="509"/>
      <c r="G95" s="509"/>
      <c r="H95" s="509"/>
      <c r="I95" s="509"/>
      <c r="J95" s="509"/>
      <c r="K95" s="509"/>
      <c r="L95" s="509"/>
      <c r="M95" s="509"/>
      <c r="N95" s="509"/>
      <c r="O95" s="509"/>
      <c r="P95" s="510"/>
      <c r="Q95" s="7"/>
    </row>
    <row r="96" spans="1:17" ht="13.5" thickBot="1" x14ac:dyDescent="0.25">
      <c r="A96" s="6"/>
      <c r="C96" s="190"/>
      <c r="D96" s="333"/>
      <c r="E96" s="361" t="s">
        <v>388</v>
      </c>
      <c r="F96" s="136" t="s">
        <v>389</v>
      </c>
      <c r="G96" s="136" t="s">
        <v>390</v>
      </c>
      <c r="H96" s="136" t="s">
        <v>391</v>
      </c>
      <c r="I96" s="136" t="s">
        <v>392</v>
      </c>
      <c r="J96" s="136" t="s">
        <v>393</v>
      </c>
      <c r="K96" s="136" t="s">
        <v>394</v>
      </c>
      <c r="L96" s="136" t="s">
        <v>395</v>
      </c>
      <c r="M96" s="136" t="s">
        <v>396</v>
      </c>
      <c r="N96" s="136" t="s">
        <v>397</v>
      </c>
      <c r="O96" s="136" t="s">
        <v>398</v>
      </c>
      <c r="P96" s="362" t="s">
        <v>399</v>
      </c>
      <c r="Q96" s="7"/>
    </row>
    <row r="97" spans="1:17" x14ac:dyDescent="0.2">
      <c r="A97" s="6"/>
      <c r="C97" s="485" t="s">
        <v>436</v>
      </c>
      <c r="D97" s="334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109"/>
      <c r="Q97" s="7"/>
    </row>
    <row r="98" spans="1:17" x14ac:dyDescent="0.2">
      <c r="A98" s="6"/>
      <c r="C98" s="147" t="s">
        <v>158</v>
      </c>
      <c r="D98" s="468">
        <f t="shared" ref="D98:D122" si="7">(D67)</f>
        <v>0</v>
      </c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4"/>
      <c r="Q98" s="7"/>
    </row>
    <row r="99" spans="1:17" x14ac:dyDescent="0.2">
      <c r="A99" s="6"/>
      <c r="C99" s="147" t="s">
        <v>165</v>
      </c>
      <c r="D99" s="468">
        <f t="shared" si="7"/>
        <v>0</v>
      </c>
      <c r="E99" s="463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464"/>
      <c r="Q99" s="7"/>
    </row>
    <row r="100" spans="1:17" x14ac:dyDescent="0.2">
      <c r="A100" s="6"/>
      <c r="C100" s="147" t="s">
        <v>167</v>
      </c>
      <c r="D100" s="468">
        <f t="shared" si="7"/>
        <v>13200</v>
      </c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4"/>
      <c r="Q100" s="7"/>
    </row>
    <row r="101" spans="1:17" x14ac:dyDescent="0.2">
      <c r="A101" s="6"/>
      <c r="C101" s="147" t="s">
        <v>168</v>
      </c>
      <c r="D101" s="468">
        <f t="shared" si="7"/>
        <v>0</v>
      </c>
      <c r="E101" s="463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464"/>
      <c r="Q101" s="7"/>
    </row>
    <row r="102" spans="1:17" x14ac:dyDescent="0.2">
      <c r="A102" s="6"/>
      <c r="C102" s="147" t="s">
        <v>170</v>
      </c>
      <c r="D102" s="468">
        <f t="shared" si="7"/>
        <v>144000</v>
      </c>
      <c r="E102" s="463"/>
      <c r="F102" s="463"/>
      <c r="G102" s="463"/>
      <c r="H102" s="463"/>
      <c r="I102" s="463"/>
      <c r="J102" s="463"/>
      <c r="K102" s="463"/>
      <c r="L102" s="463"/>
      <c r="M102" s="463"/>
      <c r="N102" s="463"/>
      <c r="O102" s="463"/>
      <c r="P102" s="464"/>
      <c r="Q102" s="7"/>
    </row>
    <row r="103" spans="1:17" x14ac:dyDescent="0.2">
      <c r="A103" s="6"/>
      <c r="C103" s="147" t="s">
        <v>171</v>
      </c>
      <c r="D103" s="468">
        <f t="shared" si="7"/>
        <v>40000</v>
      </c>
      <c r="E103" s="463"/>
      <c r="F103" s="463"/>
      <c r="G103" s="463"/>
      <c r="H103" s="463"/>
      <c r="I103" s="463"/>
      <c r="J103" s="463"/>
      <c r="K103" s="463"/>
      <c r="L103" s="463"/>
      <c r="M103" s="463"/>
      <c r="N103" s="463"/>
      <c r="O103" s="463"/>
      <c r="P103" s="464"/>
      <c r="Q103" s="7"/>
    </row>
    <row r="104" spans="1:17" x14ac:dyDescent="0.2">
      <c r="A104" s="6"/>
      <c r="C104" s="147" t="s">
        <v>378</v>
      </c>
      <c r="D104" s="468">
        <f t="shared" si="7"/>
        <v>0</v>
      </c>
      <c r="E104" s="463"/>
      <c r="F104" s="463"/>
      <c r="G104" s="463"/>
      <c r="H104" s="463"/>
      <c r="I104" s="463"/>
      <c r="J104" s="463"/>
      <c r="K104" s="463"/>
      <c r="L104" s="463"/>
      <c r="M104" s="463"/>
      <c r="N104" s="463"/>
      <c r="O104" s="463"/>
      <c r="P104" s="464"/>
      <c r="Q104" s="7"/>
    </row>
    <row r="105" spans="1:17" x14ac:dyDescent="0.2">
      <c r="A105" s="6"/>
      <c r="C105" s="147" t="s">
        <v>175</v>
      </c>
      <c r="D105" s="468">
        <f t="shared" si="7"/>
        <v>7500</v>
      </c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464"/>
      <c r="Q105" s="7"/>
    </row>
    <row r="106" spans="1:17" x14ac:dyDescent="0.2">
      <c r="A106" s="6"/>
      <c r="C106" s="147" t="s">
        <v>379</v>
      </c>
      <c r="D106" s="468">
        <f t="shared" si="7"/>
        <v>500</v>
      </c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4"/>
      <c r="Q106" s="7"/>
    </row>
    <row r="107" spans="1:17" x14ac:dyDescent="0.2">
      <c r="A107" s="6"/>
      <c r="C107" s="147" t="s">
        <v>380</v>
      </c>
      <c r="D107" s="468">
        <f t="shared" si="7"/>
        <v>100</v>
      </c>
      <c r="E107" s="463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4"/>
      <c r="Q107" s="7"/>
    </row>
    <row r="108" spans="1:17" x14ac:dyDescent="0.2">
      <c r="A108" s="6"/>
      <c r="C108" s="147" t="s">
        <v>381</v>
      </c>
      <c r="D108" s="468">
        <f t="shared" si="7"/>
        <v>7200</v>
      </c>
      <c r="E108" s="463"/>
      <c r="F108" s="463"/>
      <c r="G108" s="463"/>
      <c r="H108" s="463"/>
      <c r="I108" s="463"/>
      <c r="J108" s="463"/>
      <c r="K108" s="463"/>
      <c r="L108" s="463"/>
      <c r="M108" s="463"/>
      <c r="N108" s="463"/>
      <c r="O108" s="463"/>
      <c r="P108" s="464"/>
      <c r="Q108" s="7"/>
    </row>
    <row r="109" spans="1:17" x14ac:dyDescent="0.2">
      <c r="A109" s="6"/>
      <c r="C109" s="147" t="s">
        <v>382</v>
      </c>
      <c r="D109" s="468">
        <f t="shared" si="7"/>
        <v>7200</v>
      </c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4"/>
      <c r="Q109" s="7"/>
    </row>
    <row r="110" spans="1:17" x14ac:dyDescent="0.2">
      <c r="A110" s="6"/>
      <c r="C110" s="147" t="s">
        <v>196</v>
      </c>
      <c r="D110" s="468">
        <f t="shared" si="7"/>
        <v>0</v>
      </c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4"/>
      <c r="Q110" s="7"/>
    </row>
    <row r="111" spans="1:17" x14ac:dyDescent="0.2">
      <c r="A111" s="6"/>
      <c r="C111" s="147" t="s">
        <v>260</v>
      </c>
      <c r="D111" s="468">
        <f t="shared" si="7"/>
        <v>0</v>
      </c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4"/>
      <c r="Q111" s="7"/>
    </row>
    <row r="112" spans="1:17" x14ac:dyDescent="0.2">
      <c r="A112" s="6"/>
      <c r="C112" s="147" t="s">
        <v>261</v>
      </c>
      <c r="D112" s="468">
        <f t="shared" si="7"/>
        <v>4800</v>
      </c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4"/>
      <c r="Q112" s="7"/>
    </row>
    <row r="113" spans="1:17" x14ac:dyDescent="0.2">
      <c r="A113" s="6"/>
      <c r="C113" s="147" t="s">
        <v>44</v>
      </c>
      <c r="D113" s="468">
        <f t="shared" si="7"/>
        <v>6750</v>
      </c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4"/>
      <c r="Q113" s="7"/>
    </row>
    <row r="114" spans="1:17" x14ac:dyDescent="0.2">
      <c r="A114" s="6"/>
      <c r="C114" s="147" t="s">
        <v>182</v>
      </c>
      <c r="D114" s="468">
        <f t="shared" si="7"/>
        <v>5000</v>
      </c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4"/>
      <c r="Q114" s="7"/>
    </row>
    <row r="115" spans="1:17" x14ac:dyDescent="0.2">
      <c r="A115" s="6"/>
      <c r="C115" s="147" t="s">
        <v>183</v>
      </c>
      <c r="D115" s="468">
        <f t="shared" si="7"/>
        <v>0</v>
      </c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4"/>
      <c r="Q115" s="7"/>
    </row>
    <row r="116" spans="1:17" x14ac:dyDescent="0.2">
      <c r="A116" s="6"/>
      <c r="C116" s="147" t="s">
        <v>200</v>
      </c>
      <c r="D116" s="468">
        <f t="shared" si="7"/>
        <v>20000</v>
      </c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4"/>
      <c r="Q116" s="7"/>
    </row>
    <row r="117" spans="1:17" x14ac:dyDescent="0.2">
      <c r="A117" s="6"/>
      <c r="C117" s="147" t="s">
        <v>201</v>
      </c>
      <c r="D117" s="468">
        <f t="shared" si="7"/>
        <v>15000</v>
      </c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4"/>
      <c r="Q117" s="7"/>
    </row>
    <row r="118" spans="1:17" x14ac:dyDescent="0.2">
      <c r="A118" s="6"/>
      <c r="C118" s="147" t="s">
        <v>195</v>
      </c>
      <c r="D118" s="468">
        <f t="shared" si="7"/>
        <v>0</v>
      </c>
      <c r="E118" s="463"/>
      <c r="F118" s="463"/>
      <c r="G118" s="463"/>
      <c r="H118" s="463"/>
      <c r="I118" s="463"/>
      <c r="J118" s="463"/>
      <c r="K118" s="463"/>
      <c r="L118" s="463"/>
      <c r="M118" s="463"/>
      <c r="N118" s="463"/>
      <c r="O118" s="463"/>
      <c r="P118" s="464"/>
      <c r="Q118" s="7"/>
    </row>
    <row r="119" spans="1:17" x14ac:dyDescent="0.2">
      <c r="A119" s="6"/>
      <c r="C119" s="147" t="s">
        <v>413</v>
      </c>
      <c r="D119" s="468">
        <f t="shared" si="7"/>
        <v>25000</v>
      </c>
      <c r="E119" s="463"/>
      <c r="F119" s="463"/>
      <c r="G119" s="463"/>
      <c r="H119" s="463"/>
      <c r="I119" s="463"/>
      <c r="J119" s="463"/>
      <c r="K119" s="463"/>
      <c r="L119" s="463"/>
      <c r="M119" s="463"/>
      <c r="N119" s="463"/>
      <c r="O119" s="463"/>
      <c r="P119" s="464"/>
      <c r="Q119" s="7"/>
    </row>
    <row r="120" spans="1:17" x14ac:dyDescent="0.2">
      <c r="A120" s="6"/>
      <c r="C120" s="147" t="s">
        <v>414</v>
      </c>
      <c r="D120" s="468">
        <f t="shared" si="7"/>
        <v>0</v>
      </c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4"/>
      <c r="Q120" s="7"/>
    </row>
    <row r="121" spans="1:17" x14ac:dyDescent="0.2">
      <c r="A121" s="6"/>
      <c r="C121" s="147" t="s">
        <v>429</v>
      </c>
      <c r="D121" s="468">
        <f t="shared" si="7"/>
        <v>0</v>
      </c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4"/>
      <c r="Q121" s="7"/>
    </row>
    <row r="122" spans="1:17" ht="13.5" thickBot="1" x14ac:dyDescent="0.25">
      <c r="A122" s="6"/>
      <c r="C122" s="149" t="s">
        <v>428</v>
      </c>
      <c r="D122" s="470">
        <f t="shared" si="7"/>
        <v>5000</v>
      </c>
      <c r="E122" s="471"/>
      <c r="F122" s="471"/>
      <c r="G122" s="471"/>
      <c r="H122" s="471"/>
      <c r="I122" s="471"/>
      <c r="J122" s="471"/>
      <c r="K122" s="471"/>
      <c r="L122" s="471"/>
      <c r="M122" s="471"/>
      <c r="N122" s="471"/>
      <c r="O122" s="471"/>
      <c r="P122" s="472"/>
      <c r="Q122" s="7"/>
    </row>
    <row r="123" spans="1:17" ht="13.5" thickBot="1" x14ac:dyDescent="0.25">
      <c r="A123" s="6"/>
      <c r="C123" s="280" t="s">
        <v>440</v>
      </c>
      <c r="D123" s="335">
        <f>SUM(D97:D122)</f>
        <v>301250</v>
      </c>
      <c r="E123" s="282">
        <f t="shared" ref="E123:P123" si="8">($D98*(E98/100))+($D99*(E99/100))+($D100*(E100/100))+($D101*(E101/100))+($D102*(E102/100))+($D103*(E103/100))+($D104*(E104/100))+($D105*(E105/100))+($D106*(E106/100))+($D107*(E107/100))+($D108*(E108/100))+($D109*(E109/100))+($D110*(E110/100))+($D111*(E111/100))+($D112*(E112/100))+($D113*(E113/100))+($D114*(E114/100))+($D115*(E115/100))+($D116*(E116/100))+($D117*(E117/100))+($D118*(E118/100))+($D119*(E119/100))+($D120*(E120/100))+($D121*(E121/100))+($D122*(E122/100))</f>
        <v>0</v>
      </c>
      <c r="F123" s="282">
        <f t="shared" si="8"/>
        <v>0</v>
      </c>
      <c r="G123" s="282">
        <f t="shared" si="8"/>
        <v>0</v>
      </c>
      <c r="H123" s="282">
        <f t="shared" si="8"/>
        <v>0</v>
      </c>
      <c r="I123" s="282">
        <f t="shared" si="8"/>
        <v>0</v>
      </c>
      <c r="J123" s="282">
        <f t="shared" si="8"/>
        <v>0</v>
      </c>
      <c r="K123" s="282">
        <f t="shared" si="8"/>
        <v>0</v>
      </c>
      <c r="L123" s="282">
        <f t="shared" si="8"/>
        <v>0</v>
      </c>
      <c r="M123" s="282">
        <f t="shared" si="8"/>
        <v>0</v>
      </c>
      <c r="N123" s="282">
        <f t="shared" si="8"/>
        <v>0</v>
      </c>
      <c r="O123" s="282">
        <f t="shared" si="8"/>
        <v>0</v>
      </c>
      <c r="P123" s="275">
        <f t="shared" si="8"/>
        <v>0</v>
      </c>
      <c r="Q123" s="7"/>
    </row>
    <row r="124" spans="1:17" ht="13.5" thickBot="1" x14ac:dyDescent="0.25">
      <c r="A124" s="26"/>
      <c r="B124" s="27"/>
      <c r="C124" s="27"/>
      <c r="D124" s="118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8"/>
    </row>
    <row r="125" spans="1:17" ht="13.5" thickBot="1" x14ac:dyDescent="0.25">
      <c r="A125" s="21"/>
      <c r="B125" s="285" t="s">
        <v>386</v>
      </c>
      <c r="C125" s="285"/>
      <c r="D125" s="331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6" t="s">
        <v>454</v>
      </c>
      <c r="P125" s="285"/>
      <c r="Q125" s="23"/>
    </row>
    <row r="126" spans="1:17" x14ac:dyDescent="0.2">
      <c r="A126" s="6"/>
      <c r="C126" s="186" t="s">
        <v>234</v>
      </c>
      <c r="D126" s="332" t="s">
        <v>41</v>
      </c>
      <c r="E126" s="508" t="s">
        <v>400</v>
      </c>
      <c r="F126" s="509"/>
      <c r="G126" s="509"/>
      <c r="H126" s="509"/>
      <c r="I126" s="509"/>
      <c r="J126" s="509"/>
      <c r="K126" s="509"/>
      <c r="L126" s="509"/>
      <c r="M126" s="509"/>
      <c r="N126" s="509"/>
      <c r="O126" s="509"/>
      <c r="P126" s="510"/>
      <c r="Q126" s="7"/>
    </row>
    <row r="127" spans="1:17" ht="13.5" thickBot="1" x14ac:dyDescent="0.25">
      <c r="A127" s="6"/>
      <c r="C127" s="190"/>
      <c r="D127" s="333"/>
      <c r="E127" s="361" t="s">
        <v>388</v>
      </c>
      <c r="F127" s="136" t="s">
        <v>389</v>
      </c>
      <c r="G127" s="136" t="s">
        <v>390</v>
      </c>
      <c r="H127" s="136" t="s">
        <v>391</v>
      </c>
      <c r="I127" s="136" t="s">
        <v>392</v>
      </c>
      <c r="J127" s="136" t="s">
        <v>393</v>
      </c>
      <c r="K127" s="136" t="s">
        <v>394</v>
      </c>
      <c r="L127" s="136" t="s">
        <v>395</v>
      </c>
      <c r="M127" s="136" t="s">
        <v>396</v>
      </c>
      <c r="N127" s="136" t="s">
        <v>397</v>
      </c>
      <c r="O127" s="136" t="s">
        <v>398</v>
      </c>
      <c r="P127" s="362" t="s">
        <v>399</v>
      </c>
      <c r="Q127" s="7"/>
    </row>
    <row r="128" spans="1:17" x14ac:dyDescent="0.2">
      <c r="A128" s="6"/>
      <c r="C128" s="485" t="s">
        <v>437</v>
      </c>
      <c r="D128" s="334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109"/>
      <c r="Q128" s="7"/>
    </row>
    <row r="129" spans="1:17" x14ac:dyDescent="0.2">
      <c r="A129" s="6"/>
      <c r="C129" s="147" t="s">
        <v>158</v>
      </c>
      <c r="D129" s="468">
        <f>(D67)</f>
        <v>0</v>
      </c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4"/>
      <c r="Q129" s="7"/>
    </row>
    <row r="130" spans="1:17" x14ac:dyDescent="0.2">
      <c r="A130" s="6"/>
      <c r="C130" s="147" t="s">
        <v>165</v>
      </c>
      <c r="D130" s="468">
        <f t="shared" ref="D130:D153" si="9">(D68)</f>
        <v>0</v>
      </c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4"/>
      <c r="Q130" s="7"/>
    </row>
    <row r="131" spans="1:17" x14ac:dyDescent="0.2">
      <c r="A131" s="6"/>
      <c r="C131" s="147" t="s">
        <v>167</v>
      </c>
      <c r="D131" s="468">
        <f t="shared" si="9"/>
        <v>13200</v>
      </c>
      <c r="E131" s="463"/>
      <c r="F131" s="463"/>
      <c r="G131" s="463"/>
      <c r="H131" s="463"/>
      <c r="I131" s="463"/>
      <c r="J131" s="463"/>
      <c r="K131" s="463"/>
      <c r="L131" s="463"/>
      <c r="M131" s="463"/>
      <c r="N131" s="463"/>
      <c r="O131" s="463"/>
      <c r="P131" s="464"/>
      <c r="Q131" s="7"/>
    </row>
    <row r="132" spans="1:17" x14ac:dyDescent="0.2">
      <c r="A132" s="6"/>
      <c r="C132" s="147" t="s">
        <v>168</v>
      </c>
      <c r="D132" s="468">
        <f t="shared" si="9"/>
        <v>0</v>
      </c>
      <c r="E132" s="463"/>
      <c r="F132" s="463"/>
      <c r="G132" s="463"/>
      <c r="H132" s="463"/>
      <c r="I132" s="463"/>
      <c r="J132" s="463"/>
      <c r="K132" s="463"/>
      <c r="L132" s="463"/>
      <c r="M132" s="463"/>
      <c r="N132" s="463"/>
      <c r="O132" s="463"/>
      <c r="P132" s="464"/>
      <c r="Q132" s="7"/>
    </row>
    <row r="133" spans="1:17" x14ac:dyDescent="0.2">
      <c r="A133" s="6"/>
      <c r="C133" s="147" t="s">
        <v>170</v>
      </c>
      <c r="D133" s="468">
        <f t="shared" si="9"/>
        <v>144000</v>
      </c>
      <c r="E133" s="463"/>
      <c r="F133" s="463"/>
      <c r="G133" s="463"/>
      <c r="H133" s="463"/>
      <c r="I133" s="463"/>
      <c r="J133" s="463"/>
      <c r="K133" s="463"/>
      <c r="L133" s="463"/>
      <c r="M133" s="463"/>
      <c r="N133" s="463"/>
      <c r="O133" s="463"/>
      <c r="P133" s="464"/>
      <c r="Q133" s="7"/>
    </row>
    <row r="134" spans="1:17" x14ac:dyDescent="0.2">
      <c r="A134" s="6"/>
      <c r="C134" s="147" t="s">
        <v>171</v>
      </c>
      <c r="D134" s="468">
        <f t="shared" si="9"/>
        <v>40000</v>
      </c>
      <c r="E134" s="463"/>
      <c r="F134" s="463"/>
      <c r="G134" s="463"/>
      <c r="H134" s="463"/>
      <c r="I134" s="463"/>
      <c r="J134" s="463"/>
      <c r="K134" s="463"/>
      <c r="L134" s="463"/>
      <c r="M134" s="463"/>
      <c r="N134" s="463"/>
      <c r="O134" s="463"/>
      <c r="P134" s="464"/>
      <c r="Q134" s="7"/>
    </row>
    <row r="135" spans="1:17" x14ac:dyDescent="0.2">
      <c r="A135" s="6"/>
      <c r="C135" s="147" t="s">
        <v>378</v>
      </c>
      <c r="D135" s="468">
        <f t="shared" si="9"/>
        <v>0</v>
      </c>
      <c r="E135" s="463"/>
      <c r="F135" s="463"/>
      <c r="G135" s="463"/>
      <c r="H135" s="463"/>
      <c r="I135" s="463"/>
      <c r="J135" s="463"/>
      <c r="K135" s="463"/>
      <c r="L135" s="463"/>
      <c r="M135" s="463"/>
      <c r="N135" s="463"/>
      <c r="O135" s="463"/>
      <c r="P135" s="464"/>
      <c r="Q135" s="7"/>
    </row>
    <row r="136" spans="1:17" x14ac:dyDescent="0.2">
      <c r="A136" s="6"/>
      <c r="C136" s="147" t="s">
        <v>175</v>
      </c>
      <c r="D136" s="468">
        <f t="shared" si="9"/>
        <v>7500</v>
      </c>
      <c r="E136" s="463"/>
      <c r="F136" s="463"/>
      <c r="G136" s="463"/>
      <c r="H136" s="463"/>
      <c r="I136" s="463"/>
      <c r="J136" s="463"/>
      <c r="K136" s="463"/>
      <c r="L136" s="463"/>
      <c r="M136" s="463"/>
      <c r="N136" s="463"/>
      <c r="O136" s="463"/>
      <c r="P136" s="464"/>
      <c r="Q136" s="7"/>
    </row>
    <row r="137" spans="1:17" x14ac:dyDescent="0.2">
      <c r="A137" s="6"/>
      <c r="C137" s="147" t="s">
        <v>379</v>
      </c>
      <c r="D137" s="468">
        <f t="shared" si="9"/>
        <v>500</v>
      </c>
      <c r="E137" s="463"/>
      <c r="F137" s="463"/>
      <c r="G137" s="463"/>
      <c r="H137" s="463"/>
      <c r="I137" s="463"/>
      <c r="J137" s="463"/>
      <c r="K137" s="463"/>
      <c r="L137" s="463"/>
      <c r="M137" s="463"/>
      <c r="N137" s="463"/>
      <c r="O137" s="463"/>
      <c r="P137" s="464"/>
      <c r="Q137" s="7"/>
    </row>
    <row r="138" spans="1:17" x14ac:dyDescent="0.2">
      <c r="A138" s="6"/>
      <c r="C138" s="147" t="s">
        <v>380</v>
      </c>
      <c r="D138" s="468">
        <f t="shared" si="9"/>
        <v>100</v>
      </c>
      <c r="E138" s="463"/>
      <c r="F138" s="463"/>
      <c r="G138" s="463"/>
      <c r="H138" s="463"/>
      <c r="I138" s="463"/>
      <c r="J138" s="463"/>
      <c r="K138" s="463"/>
      <c r="L138" s="463"/>
      <c r="M138" s="463"/>
      <c r="N138" s="463"/>
      <c r="O138" s="463"/>
      <c r="P138" s="464"/>
      <c r="Q138" s="7"/>
    </row>
    <row r="139" spans="1:17" x14ac:dyDescent="0.2">
      <c r="A139" s="6"/>
      <c r="C139" s="147" t="s">
        <v>381</v>
      </c>
      <c r="D139" s="468">
        <f t="shared" si="9"/>
        <v>7200</v>
      </c>
      <c r="E139" s="463"/>
      <c r="F139" s="463"/>
      <c r="G139" s="463"/>
      <c r="H139" s="463"/>
      <c r="I139" s="463"/>
      <c r="J139" s="463"/>
      <c r="K139" s="463"/>
      <c r="L139" s="463"/>
      <c r="M139" s="463"/>
      <c r="N139" s="463"/>
      <c r="O139" s="463"/>
      <c r="P139" s="464"/>
      <c r="Q139" s="7"/>
    </row>
    <row r="140" spans="1:17" x14ac:dyDescent="0.2">
      <c r="A140" s="6"/>
      <c r="C140" s="147" t="s">
        <v>382</v>
      </c>
      <c r="D140" s="468">
        <f t="shared" si="9"/>
        <v>7200</v>
      </c>
      <c r="E140" s="463"/>
      <c r="F140" s="463"/>
      <c r="G140" s="463"/>
      <c r="H140" s="463"/>
      <c r="I140" s="463"/>
      <c r="J140" s="463"/>
      <c r="K140" s="463"/>
      <c r="L140" s="463"/>
      <c r="M140" s="463"/>
      <c r="N140" s="463"/>
      <c r="O140" s="463"/>
      <c r="P140" s="464"/>
      <c r="Q140" s="7"/>
    </row>
    <row r="141" spans="1:17" x14ac:dyDescent="0.2">
      <c r="A141" s="6"/>
      <c r="C141" s="147" t="s">
        <v>196</v>
      </c>
      <c r="D141" s="468">
        <f t="shared" si="9"/>
        <v>0</v>
      </c>
      <c r="E141" s="463"/>
      <c r="F141" s="463"/>
      <c r="G141" s="463"/>
      <c r="H141" s="463"/>
      <c r="I141" s="463"/>
      <c r="J141" s="463"/>
      <c r="K141" s="463"/>
      <c r="L141" s="463"/>
      <c r="M141" s="463"/>
      <c r="N141" s="463"/>
      <c r="O141" s="463"/>
      <c r="P141" s="464"/>
      <c r="Q141" s="7"/>
    </row>
    <row r="142" spans="1:17" x14ac:dyDescent="0.2">
      <c r="A142" s="6"/>
      <c r="C142" s="147" t="s">
        <v>260</v>
      </c>
      <c r="D142" s="468">
        <f t="shared" si="9"/>
        <v>0</v>
      </c>
      <c r="E142" s="463"/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4"/>
      <c r="Q142" s="7"/>
    </row>
    <row r="143" spans="1:17" x14ac:dyDescent="0.2">
      <c r="A143" s="6"/>
      <c r="C143" s="147" t="s">
        <v>261</v>
      </c>
      <c r="D143" s="468">
        <f t="shared" si="9"/>
        <v>4800</v>
      </c>
      <c r="E143" s="463"/>
      <c r="F143" s="463"/>
      <c r="G143" s="463"/>
      <c r="H143" s="463"/>
      <c r="I143" s="463"/>
      <c r="J143" s="463"/>
      <c r="K143" s="463"/>
      <c r="L143" s="463"/>
      <c r="M143" s="463"/>
      <c r="N143" s="463"/>
      <c r="O143" s="463"/>
      <c r="P143" s="464"/>
      <c r="Q143" s="7"/>
    </row>
    <row r="144" spans="1:17" x14ac:dyDescent="0.2">
      <c r="A144" s="6"/>
      <c r="C144" s="147" t="s">
        <v>44</v>
      </c>
      <c r="D144" s="468">
        <f t="shared" si="9"/>
        <v>6750</v>
      </c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4"/>
      <c r="Q144" s="7"/>
    </row>
    <row r="145" spans="1:17" x14ac:dyDescent="0.2">
      <c r="A145" s="6"/>
      <c r="C145" s="147" t="s">
        <v>182</v>
      </c>
      <c r="D145" s="468">
        <f t="shared" si="9"/>
        <v>5000</v>
      </c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4"/>
      <c r="Q145" s="7"/>
    </row>
    <row r="146" spans="1:17" x14ac:dyDescent="0.2">
      <c r="A146" s="6"/>
      <c r="C146" s="147" t="s">
        <v>183</v>
      </c>
      <c r="D146" s="468">
        <f t="shared" si="9"/>
        <v>0</v>
      </c>
      <c r="E146" s="463"/>
      <c r="F146" s="463"/>
      <c r="G146" s="463"/>
      <c r="H146" s="463"/>
      <c r="I146" s="463"/>
      <c r="J146" s="463"/>
      <c r="K146" s="463"/>
      <c r="L146" s="463"/>
      <c r="M146" s="463"/>
      <c r="N146" s="463"/>
      <c r="O146" s="463"/>
      <c r="P146" s="464"/>
      <c r="Q146" s="7"/>
    </row>
    <row r="147" spans="1:17" x14ac:dyDescent="0.2">
      <c r="A147" s="6"/>
      <c r="C147" s="147" t="s">
        <v>200</v>
      </c>
      <c r="D147" s="468">
        <f t="shared" si="9"/>
        <v>20000</v>
      </c>
      <c r="E147" s="463"/>
      <c r="F147" s="463"/>
      <c r="G147" s="463"/>
      <c r="H147" s="463"/>
      <c r="I147" s="463"/>
      <c r="J147" s="463"/>
      <c r="K147" s="463"/>
      <c r="L147" s="463"/>
      <c r="M147" s="463"/>
      <c r="N147" s="463"/>
      <c r="O147" s="463"/>
      <c r="P147" s="464"/>
      <c r="Q147" s="7"/>
    </row>
    <row r="148" spans="1:17" x14ac:dyDescent="0.2">
      <c r="A148" s="6"/>
      <c r="C148" s="147" t="s">
        <v>201</v>
      </c>
      <c r="D148" s="468">
        <f t="shared" si="9"/>
        <v>15000</v>
      </c>
      <c r="E148" s="463"/>
      <c r="F148" s="463"/>
      <c r="G148" s="463"/>
      <c r="H148" s="463"/>
      <c r="I148" s="463"/>
      <c r="J148" s="463"/>
      <c r="K148" s="463"/>
      <c r="L148" s="463"/>
      <c r="M148" s="463"/>
      <c r="N148" s="463"/>
      <c r="O148" s="463"/>
      <c r="P148" s="464"/>
      <c r="Q148" s="7"/>
    </row>
    <row r="149" spans="1:17" x14ac:dyDescent="0.2">
      <c r="A149" s="6"/>
      <c r="C149" s="147" t="s">
        <v>195</v>
      </c>
      <c r="D149" s="468">
        <f t="shared" si="9"/>
        <v>0</v>
      </c>
      <c r="E149" s="463"/>
      <c r="F149" s="463"/>
      <c r="G149" s="463"/>
      <c r="H149" s="463"/>
      <c r="I149" s="463"/>
      <c r="J149" s="463"/>
      <c r="K149" s="463"/>
      <c r="L149" s="463"/>
      <c r="M149" s="463"/>
      <c r="N149" s="463"/>
      <c r="O149" s="463"/>
      <c r="P149" s="464"/>
      <c r="Q149" s="7"/>
    </row>
    <row r="150" spans="1:17" x14ac:dyDescent="0.2">
      <c r="A150" s="6"/>
      <c r="C150" s="147" t="s">
        <v>413</v>
      </c>
      <c r="D150" s="468">
        <f t="shared" si="9"/>
        <v>25000</v>
      </c>
      <c r="E150" s="463"/>
      <c r="F150" s="463"/>
      <c r="G150" s="463"/>
      <c r="H150" s="463"/>
      <c r="I150" s="463"/>
      <c r="J150" s="463"/>
      <c r="K150" s="463"/>
      <c r="L150" s="463"/>
      <c r="M150" s="463"/>
      <c r="N150" s="463"/>
      <c r="O150" s="463"/>
      <c r="P150" s="464"/>
      <c r="Q150" s="7"/>
    </row>
    <row r="151" spans="1:17" x14ac:dyDescent="0.2">
      <c r="A151" s="6"/>
      <c r="C151" s="147" t="s">
        <v>414</v>
      </c>
      <c r="D151" s="468">
        <f t="shared" si="9"/>
        <v>0</v>
      </c>
      <c r="E151" s="463"/>
      <c r="F151" s="463"/>
      <c r="G151" s="463"/>
      <c r="H151" s="463"/>
      <c r="I151" s="463"/>
      <c r="J151" s="463"/>
      <c r="K151" s="463"/>
      <c r="L151" s="463"/>
      <c r="M151" s="463"/>
      <c r="N151" s="463"/>
      <c r="O151" s="463"/>
      <c r="P151" s="464"/>
      <c r="Q151" s="7"/>
    </row>
    <row r="152" spans="1:17" x14ac:dyDescent="0.2">
      <c r="A152" s="6"/>
      <c r="C152" s="147" t="s">
        <v>429</v>
      </c>
      <c r="D152" s="468">
        <f t="shared" si="9"/>
        <v>0</v>
      </c>
      <c r="E152" s="463"/>
      <c r="F152" s="463"/>
      <c r="G152" s="463"/>
      <c r="H152" s="463"/>
      <c r="I152" s="463"/>
      <c r="J152" s="463"/>
      <c r="K152" s="463"/>
      <c r="L152" s="463"/>
      <c r="M152" s="463"/>
      <c r="N152" s="463"/>
      <c r="O152" s="463"/>
      <c r="P152" s="464"/>
      <c r="Q152" s="7"/>
    </row>
    <row r="153" spans="1:17" ht="13.5" thickBot="1" x14ac:dyDescent="0.25">
      <c r="A153" s="6"/>
      <c r="C153" s="9" t="s">
        <v>428</v>
      </c>
      <c r="D153" s="468">
        <f t="shared" si="9"/>
        <v>5000</v>
      </c>
      <c r="E153" s="465"/>
      <c r="F153" s="465"/>
      <c r="G153" s="465"/>
      <c r="H153" s="465"/>
      <c r="I153" s="465"/>
      <c r="J153" s="465"/>
      <c r="K153" s="465"/>
      <c r="L153" s="465"/>
      <c r="M153" s="465"/>
      <c r="N153" s="465"/>
      <c r="O153" s="465"/>
      <c r="P153" s="466"/>
      <c r="Q153" s="7"/>
    </row>
    <row r="154" spans="1:17" ht="13.5" thickBot="1" x14ac:dyDescent="0.25">
      <c r="A154" s="6"/>
      <c r="C154" s="279" t="s">
        <v>439</v>
      </c>
      <c r="D154" s="129">
        <f>SUM(D128:D153)</f>
        <v>301250</v>
      </c>
      <c r="E154" s="140">
        <f t="shared" ref="E154:P154" si="10">($D129*(E129/100))+($D130*(E130/100))+($D131*(E131/100))+($D132*(E132/100))+($D133*(E133/100))+($D134*(E134/100))+($D135*(E135/100))+($D136*(E136/100))+($D137*(E137/100))+($D138*(E138/100))+($D139*(E139/100))+($D140*(E140/100))+($D141*(E141/100))+($D142*(E142/100))+($D143*(E143/100))+($D144*(E144/100))+($D145*(E145/100))+($D146*(E146/100))+($D147*(E147/100))+($D148*(E148/100))+($D149*(E149/100))+($D150*(E150/100))+($D151*(E151/100))+($D152*(E152/100))+($D153*(E153/100))</f>
        <v>0</v>
      </c>
      <c r="F154" s="140">
        <f t="shared" si="10"/>
        <v>0</v>
      </c>
      <c r="G154" s="140">
        <f t="shared" si="10"/>
        <v>0</v>
      </c>
      <c r="H154" s="140">
        <f t="shared" si="10"/>
        <v>0</v>
      </c>
      <c r="I154" s="140">
        <f t="shared" si="10"/>
        <v>0</v>
      </c>
      <c r="J154" s="140">
        <f t="shared" si="10"/>
        <v>0</v>
      </c>
      <c r="K154" s="140">
        <f t="shared" si="10"/>
        <v>0</v>
      </c>
      <c r="L154" s="140">
        <f t="shared" si="10"/>
        <v>0</v>
      </c>
      <c r="M154" s="140">
        <f t="shared" si="10"/>
        <v>0</v>
      </c>
      <c r="N154" s="140">
        <f t="shared" si="10"/>
        <v>0</v>
      </c>
      <c r="O154" s="140">
        <f t="shared" si="10"/>
        <v>0</v>
      </c>
      <c r="P154" s="17">
        <f t="shared" si="10"/>
        <v>0</v>
      </c>
      <c r="Q154" s="7"/>
    </row>
    <row r="155" spans="1:17" ht="13.5" thickBot="1" x14ac:dyDescent="0.25">
      <c r="A155" s="26"/>
      <c r="B155" s="27"/>
      <c r="C155" s="27"/>
      <c r="D155" s="118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8"/>
    </row>
    <row r="156" spans="1:17" ht="13.5" thickBot="1" x14ac:dyDescent="0.25">
      <c r="A156" s="21"/>
      <c r="B156" s="285" t="s">
        <v>386</v>
      </c>
      <c r="C156" s="285"/>
      <c r="D156" s="331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6" t="s">
        <v>455</v>
      </c>
      <c r="P156" s="285"/>
      <c r="Q156" s="23"/>
    </row>
    <row r="157" spans="1:17" x14ac:dyDescent="0.2">
      <c r="A157" s="6"/>
      <c r="C157" s="186" t="s">
        <v>234</v>
      </c>
      <c r="D157" s="332" t="s">
        <v>41</v>
      </c>
      <c r="E157" s="508" t="s">
        <v>400</v>
      </c>
      <c r="F157" s="509"/>
      <c r="G157" s="509"/>
      <c r="H157" s="509"/>
      <c r="I157" s="509"/>
      <c r="J157" s="509"/>
      <c r="K157" s="509"/>
      <c r="L157" s="509"/>
      <c r="M157" s="509"/>
      <c r="N157" s="509"/>
      <c r="O157" s="509"/>
      <c r="P157" s="510"/>
      <c r="Q157" s="7"/>
    </row>
    <row r="158" spans="1:17" ht="13.5" thickBot="1" x14ac:dyDescent="0.25">
      <c r="A158" s="6"/>
      <c r="C158" s="190"/>
      <c r="D158" s="333"/>
      <c r="E158" s="361" t="s">
        <v>388</v>
      </c>
      <c r="F158" s="136" t="s">
        <v>389</v>
      </c>
      <c r="G158" s="136" t="s">
        <v>390</v>
      </c>
      <c r="H158" s="136" t="s">
        <v>391</v>
      </c>
      <c r="I158" s="136" t="s">
        <v>392</v>
      </c>
      <c r="J158" s="136" t="s">
        <v>393</v>
      </c>
      <c r="K158" s="136" t="s">
        <v>394</v>
      </c>
      <c r="L158" s="136" t="s">
        <v>395</v>
      </c>
      <c r="M158" s="136" t="s">
        <v>396</v>
      </c>
      <c r="N158" s="136" t="s">
        <v>397</v>
      </c>
      <c r="O158" s="136" t="s">
        <v>398</v>
      </c>
      <c r="P158" s="362" t="s">
        <v>399</v>
      </c>
      <c r="Q158" s="7"/>
    </row>
    <row r="159" spans="1:17" x14ac:dyDescent="0.2">
      <c r="A159" s="6"/>
      <c r="C159" s="485" t="s">
        <v>438</v>
      </c>
      <c r="D159" s="334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109"/>
      <c r="Q159" s="7"/>
    </row>
    <row r="160" spans="1:17" x14ac:dyDescent="0.2">
      <c r="A160" s="6"/>
      <c r="C160" s="147" t="s">
        <v>158</v>
      </c>
      <c r="D160" s="468">
        <f>(D67)</f>
        <v>0</v>
      </c>
      <c r="E160" s="463"/>
      <c r="F160" s="463"/>
      <c r="G160" s="463"/>
      <c r="H160" s="463"/>
      <c r="I160" s="463"/>
      <c r="J160" s="463"/>
      <c r="K160" s="463"/>
      <c r="L160" s="463"/>
      <c r="M160" s="463"/>
      <c r="N160" s="463"/>
      <c r="O160" s="463"/>
      <c r="P160" s="464"/>
      <c r="Q160" s="7"/>
    </row>
    <row r="161" spans="1:17" x14ac:dyDescent="0.2">
      <c r="A161" s="6"/>
      <c r="C161" s="147" t="s">
        <v>165</v>
      </c>
      <c r="D161" s="468">
        <f t="shared" ref="D161:D184" si="11">(D68)</f>
        <v>0</v>
      </c>
      <c r="E161" s="463"/>
      <c r="F161" s="463"/>
      <c r="G161" s="463"/>
      <c r="H161" s="463"/>
      <c r="I161" s="463"/>
      <c r="J161" s="463"/>
      <c r="K161" s="463"/>
      <c r="L161" s="463"/>
      <c r="M161" s="463"/>
      <c r="N161" s="463"/>
      <c r="O161" s="463"/>
      <c r="P161" s="464"/>
      <c r="Q161" s="7"/>
    </row>
    <row r="162" spans="1:17" x14ac:dyDescent="0.2">
      <c r="A162" s="6"/>
      <c r="C162" s="147" t="s">
        <v>167</v>
      </c>
      <c r="D162" s="468">
        <f t="shared" si="11"/>
        <v>13200</v>
      </c>
      <c r="E162" s="463"/>
      <c r="F162" s="463"/>
      <c r="G162" s="463"/>
      <c r="H162" s="463"/>
      <c r="I162" s="463"/>
      <c r="J162" s="463"/>
      <c r="K162" s="463"/>
      <c r="L162" s="463"/>
      <c r="M162" s="463"/>
      <c r="N162" s="463"/>
      <c r="O162" s="463"/>
      <c r="P162" s="464"/>
      <c r="Q162" s="7"/>
    </row>
    <row r="163" spans="1:17" x14ac:dyDescent="0.2">
      <c r="A163" s="6"/>
      <c r="C163" s="147" t="s">
        <v>168</v>
      </c>
      <c r="D163" s="468">
        <f t="shared" si="11"/>
        <v>0</v>
      </c>
      <c r="E163" s="463"/>
      <c r="F163" s="463"/>
      <c r="G163" s="463"/>
      <c r="H163" s="463"/>
      <c r="I163" s="463"/>
      <c r="J163" s="463"/>
      <c r="K163" s="463"/>
      <c r="L163" s="463"/>
      <c r="M163" s="463"/>
      <c r="N163" s="463"/>
      <c r="O163" s="463"/>
      <c r="P163" s="464"/>
      <c r="Q163" s="7"/>
    </row>
    <row r="164" spans="1:17" x14ac:dyDescent="0.2">
      <c r="A164" s="6"/>
      <c r="C164" s="147" t="s">
        <v>170</v>
      </c>
      <c r="D164" s="468">
        <f t="shared" si="11"/>
        <v>144000</v>
      </c>
      <c r="E164" s="463"/>
      <c r="F164" s="463"/>
      <c r="G164" s="463"/>
      <c r="H164" s="463"/>
      <c r="I164" s="463"/>
      <c r="J164" s="463"/>
      <c r="K164" s="463"/>
      <c r="L164" s="463"/>
      <c r="M164" s="463"/>
      <c r="N164" s="463"/>
      <c r="O164" s="463"/>
      <c r="P164" s="464"/>
      <c r="Q164" s="7"/>
    </row>
    <row r="165" spans="1:17" x14ac:dyDescent="0.2">
      <c r="A165" s="6"/>
      <c r="C165" s="147" t="s">
        <v>171</v>
      </c>
      <c r="D165" s="468">
        <f t="shared" si="11"/>
        <v>40000</v>
      </c>
      <c r="E165" s="463"/>
      <c r="F165" s="463"/>
      <c r="G165" s="463"/>
      <c r="H165" s="463"/>
      <c r="I165" s="463"/>
      <c r="J165" s="463"/>
      <c r="K165" s="463"/>
      <c r="L165" s="463"/>
      <c r="M165" s="463"/>
      <c r="N165" s="463"/>
      <c r="O165" s="463"/>
      <c r="P165" s="464"/>
      <c r="Q165" s="7"/>
    </row>
    <row r="166" spans="1:17" x14ac:dyDescent="0.2">
      <c r="A166" s="6"/>
      <c r="C166" s="147" t="s">
        <v>378</v>
      </c>
      <c r="D166" s="468">
        <f t="shared" si="11"/>
        <v>0</v>
      </c>
      <c r="E166" s="463"/>
      <c r="F166" s="463"/>
      <c r="G166" s="463"/>
      <c r="H166" s="463"/>
      <c r="I166" s="463"/>
      <c r="J166" s="463"/>
      <c r="K166" s="463"/>
      <c r="L166" s="463"/>
      <c r="M166" s="463"/>
      <c r="N166" s="463"/>
      <c r="O166" s="463"/>
      <c r="P166" s="464"/>
      <c r="Q166" s="7"/>
    </row>
    <row r="167" spans="1:17" x14ac:dyDescent="0.2">
      <c r="A167" s="6"/>
      <c r="C167" s="147" t="s">
        <v>175</v>
      </c>
      <c r="D167" s="468">
        <f t="shared" si="11"/>
        <v>7500</v>
      </c>
      <c r="E167" s="463"/>
      <c r="F167" s="463"/>
      <c r="G167" s="463"/>
      <c r="H167" s="463"/>
      <c r="I167" s="463"/>
      <c r="J167" s="463"/>
      <c r="K167" s="463"/>
      <c r="L167" s="463"/>
      <c r="M167" s="463"/>
      <c r="N167" s="463"/>
      <c r="O167" s="463"/>
      <c r="P167" s="464"/>
      <c r="Q167" s="7"/>
    </row>
    <row r="168" spans="1:17" x14ac:dyDescent="0.2">
      <c r="A168" s="6"/>
      <c r="C168" s="147" t="s">
        <v>379</v>
      </c>
      <c r="D168" s="468">
        <f t="shared" si="11"/>
        <v>500</v>
      </c>
      <c r="E168" s="463"/>
      <c r="F168" s="463"/>
      <c r="G168" s="463"/>
      <c r="H168" s="463"/>
      <c r="I168" s="463"/>
      <c r="J168" s="463"/>
      <c r="K168" s="463"/>
      <c r="L168" s="463"/>
      <c r="M168" s="463"/>
      <c r="N168" s="463"/>
      <c r="O168" s="463"/>
      <c r="P168" s="464"/>
      <c r="Q168" s="7"/>
    </row>
    <row r="169" spans="1:17" x14ac:dyDescent="0.2">
      <c r="A169" s="6"/>
      <c r="C169" s="147" t="s">
        <v>380</v>
      </c>
      <c r="D169" s="468">
        <f t="shared" si="11"/>
        <v>100</v>
      </c>
      <c r="E169" s="463"/>
      <c r="F169" s="463"/>
      <c r="G169" s="463"/>
      <c r="H169" s="463"/>
      <c r="I169" s="463"/>
      <c r="J169" s="463"/>
      <c r="K169" s="463"/>
      <c r="L169" s="463"/>
      <c r="M169" s="463"/>
      <c r="N169" s="463"/>
      <c r="O169" s="463"/>
      <c r="P169" s="464"/>
      <c r="Q169" s="7"/>
    </row>
    <row r="170" spans="1:17" x14ac:dyDescent="0.2">
      <c r="A170" s="6"/>
      <c r="C170" s="147" t="s">
        <v>381</v>
      </c>
      <c r="D170" s="468">
        <f t="shared" si="11"/>
        <v>7200</v>
      </c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4"/>
      <c r="Q170" s="7"/>
    </row>
    <row r="171" spans="1:17" x14ac:dyDescent="0.2">
      <c r="A171" s="6"/>
      <c r="C171" s="147" t="s">
        <v>382</v>
      </c>
      <c r="D171" s="468">
        <f t="shared" si="11"/>
        <v>7200</v>
      </c>
      <c r="E171" s="463"/>
      <c r="F171" s="463"/>
      <c r="G171" s="463"/>
      <c r="H171" s="463"/>
      <c r="I171" s="463"/>
      <c r="J171" s="463"/>
      <c r="K171" s="463"/>
      <c r="L171" s="463"/>
      <c r="M171" s="463"/>
      <c r="N171" s="463"/>
      <c r="O171" s="463"/>
      <c r="P171" s="464"/>
      <c r="Q171" s="7"/>
    </row>
    <row r="172" spans="1:17" x14ac:dyDescent="0.2">
      <c r="A172" s="6"/>
      <c r="C172" s="147" t="s">
        <v>196</v>
      </c>
      <c r="D172" s="468">
        <f t="shared" si="11"/>
        <v>0</v>
      </c>
      <c r="E172" s="463"/>
      <c r="F172" s="463"/>
      <c r="G172" s="463"/>
      <c r="H172" s="463"/>
      <c r="I172" s="463"/>
      <c r="J172" s="463"/>
      <c r="K172" s="463"/>
      <c r="L172" s="463"/>
      <c r="M172" s="463"/>
      <c r="N172" s="463"/>
      <c r="O172" s="463"/>
      <c r="P172" s="464"/>
      <c r="Q172" s="7"/>
    </row>
    <row r="173" spans="1:17" x14ac:dyDescent="0.2">
      <c r="A173" s="6"/>
      <c r="C173" s="147" t="s">
        <v>260</v>
      </c>
      <c r="D173" s="468">
        <f t="shared" si="11"/>
        <v>0</v>
      </c>
      <c r="E173" s="463"/>
      <c r="F173" s="463"/>
      <c r="G173" s="463"/>
      <c r="H173" s="463"/>
      <c r="I173" s="463"/>
      <c r="J173" s="463"/>
      <c r="K173" s="463"/>
      <c r="L173" s="463"/>
      <c r="M173" s="463"/>
      <c r="N173" s="463"/>
      <c r="O173" s="463"/>
      <c r="P173" s="464"/>
      <c r="Q173" s="7"/>
    </row>
    <row r="174" spans="1:17" x14ac:dyDescent="0.2">
      <c r="A174" s="6"/>
      <c r="C174" s="147" t="s">
        <v>261</v>
      </c>
      <c r="D174" s="468">
        <f t="shared" si="11"/>
        <v>4800</v>
      </c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4"/>
      <c r="Q174" s="7"/>
    </row>
    <row r="175" spans="1:17" x14ac:dyDescent="0.2">
      <c r="A175" s="6"/>
      <c r="C175" s="147" t="s">
        <v>44</v>
      </c>
      <c r="D175" s="468">
        <f t="shared" si="11"/>
        <v>6750</v>
      </c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4"/>
      <c r="Q175" s="7"/>
    </row>
    <row r="176" spans="1:17" x14ac:dyDescent="0.2">
      <c r="A176" s="6"/>
      <c r="C176" s="147" t="s">
        <v>182</v>
      </c>
      <c r="D176" s="468">
        <f t="shared" si="11"/>
        <v>5000</v>
      </c>
      <c r="E176" s="463"/>
      <c r="F176" s="463"/>
      <c r="G176" s="463"/>
      <c r="H176" s="463"/>
      <c r="I176" s="463"/>
      <c r="J176" s="463"/>
      <c r="K176" s="463"/>
      <c r="L176" s="463"/>
      <c r="M176" s="463"/>
      <c r="N176" s="463"/>
      <c r="O176" s="463"/>
      <c r="P176" s="464"/>
      <c r="Q176" s="7"/>
    </row>
    <row r="177" spans="1:17" x14ac:dyDescent="0.2">
      <c r="A177" s="6"/>
      <c r="C177" s="147" t="s">
        <v>183</v>
      </c>
      <c r="D177" s="468">
        <f t="shared" si="11"/>
        <v>0</v>
      </c>
      <c r="E177" s="463"/>
      <c r="F177" s="463"/>
      <c r="G177" s="463"/>
      <c r="H177" s="463"/>
      <c r="I177" s="463"/>
      <c r="J177" s="463"/>
      <c r="K177" s="463"/>
      <c r="L177" s="463"/>
      <c r="M177" s="463"/>
      <c r="N177" s="463"/>
      <c r="O177" s="463"/>
      <c r="P177" s="464"/>
      <c r="Q177" s="7"/>
    </row>
    <row r="178" spans="1:17" x14ac:dyDescent="0.2">
      <c r="A178" s="6"/>
      <c r="C178" s="147" t="s">
        <v>200</v>
      </c>
      <c r="D178" s="468">
        <f t="shared" si="11"/>
        <v>20000</v>
      </c>
      <c r="E178" s="463"/>
      <c r="F178" s="463"/>
      <c r="G178" s="463"/>
      <c r="H178" s="463"/>
      <c r="I178" s="463"/>
      <c r="J178" s="463"/>
      <c r="K178" s="463"/>
      <c r="L178" s="463"/>
      <c r="M178" s="463"/>
      <c r="N178" s="463"/>
      <c r="O178" s="463"/>
      <c r="P178" s="464"/>
      <c r="Q178" s="7"/>
    </row>
    <row r="179" spans="1:17" x14ac:dyDescent="0.2">
      <c r="A179" s="6"/>
      <c r="C179" s="147" t="s">
        <v>201</v>
      </c>
      <c r="D179" s="468">
        <f t="shared" si="11"/>
        <v>15000</v>
      </c>
      <c r="E179" s="463"/>
      <c r="F179" s="463"/>
      <c r="G179" s="463"/>
      <c r="H179" s="463"/>
      <c r="I179" s="463"/>
      <c r="J179" s="463"/>
      <c r="K179" s="463"/>
      <c r="L179" s="463"/>
      <c r="M179" s="463"/>
      <c r="N179" s="463"/>
      <c r="O179" s="463"/>
      <c r="P179" s="464"/>
      <c r="Q179" s="7"/>
    </row>
    <row r="180" spans="1:17" x14ac:dyDescent="0.2">
      <c r="A180" s="6"/>
      <c r="C180" s="147" t="s">
        <v>195</v>
      </c>
      <c r="D180" s="468">
        <f t="shared" si="11"/>
        <v>0</v>
      </c>
      <c r="E180" s="463"/>
      <c r="F180" s="463"/>
      <c r="G180" s="463"/>
      <c r="H180" s="463"/>
      <c r="I180" s="463"/>
      <c r="J180" s="463"/>
      <c r="K180" s="463"/>
      <c r="L180" s="463"/>
      <c r="M180" s="463"/>
      <c r="N180" s="463"/>
      <c r="O180" s="463"/>
      <c r="P180" s="464"/>
      <c r="Q180" s="7"/>
    </row>
    <row r="181" spans="1:17" x14ac:dyDescent="0.2">
      <c r="A181" s="6"/>
      <c r="C181" s="147" t="s">
        <v>413</v>
      </c>
      <c r="D181" s="468">
        <f t="shared" si="11"/>
        <v>25000</v>
      </c>
      <c r="E181" s="463"/>
      <c r="F181" s="463"/>
      <c r="G181" s="463"/>
      <c r="H181" s="463"/>
      <c r="I181" s="463"/>
      <c r="J181" s="463"/>
      <c r="K181" s="463"/>
      <c r="L181" s="463"/>
      <c r="M181" s="463"/>
      <c r="N181" s="463"/>
      <c r="O181" s="463"/>
      <c r="P181" s="464"/>
      <c r="Q181" s="7"/>
    </row>
    <row r="182" spans="1:17" x14ac:dyDescent="0.2">
      <c r="A182" s="6"/>
      <c r="C182" s="147" t="s">
        <v>414</v>
      </c>
      <c r="D182" s="468">
        <f t="shared" si="11"/>
        <v>0</v>
      </c>
      <c r="E182" s="463"/>
      <c r="F182" s="463"/>
      <c r="G182" s="463"/>
      <c r="H182" s="463"/>
      <c r="I182" s="463"/>
      <c r="J182" s="463"/>
      <c r="K182" s="463"/>
      <c r="L182" s="463"/>
      <c r="M182" s="463"/>
      <c r="N182" s="463"/>
      <c r="O182" s="463"/>
      <c r="P182" s="464"/>
      <c r="Q182" s="7"/>
    </row>
    <row r="183" spans="1:17" x14ac:dyDescent="0.2">
      <c r="A183" s="6"/>
      <c r="C183" s="147" t="s">
        <v>429</v>
      </c>
      <c r="D183" s="468">
        <f t="shared" si="11"/>
        <v>0</v>
      </c>
      <c r="E183" s="463"/>
      <c r="F183" s="463"/>
      <c r="G183" s="463"/>
      <c r="H183" s="463"/>
      <c r="I183" s="463"/>
      <c r="J183" s="463"/>
      <c r="K183" s="463"/>
      <c r="L183" s="463"/>
      <c r="M183" s="463"/>
      <c r="N183" s="463"/>
      <c r="O183" s="463"/>
      <c r="P183" s="464"/>
      <c r="Q183" s="7"/>
    </row>
    <row r="184" spans="1:17" ht="13.5" thickBot="1" x14ac:dyDescent="0.25">
      <c r="A184" s="6"/>
      <c r="C184" s="9" t="s">
        <v>428</v>
      </c>
      <c r="D184" s="468">
        <f t="shared" si="11"/>
        <v>5000</v>
      </c>
      <c r="E184" s="465"/>
      <c r="F184" s="465"/>
      <c r="G184" s="465"/>
      <c r="H184" s="465"/>
      <c r="I184" s="465"/>
      <c r="J184" s="465"/>
      <c r="K184" s="465"/>
      <c r="L184" s="465"/>
      <c r="M184" s="465"/>
      <c r="N184" s="465"/>
      <c r="O184" s="465"/>
      <c r="P184" s="466"/>
      <c r="Q184" s="7"/>
    </row>
    <row r="185" spans="1:17" ht="13.5" thickBot="1" x14ac:dyDescent="0.25">
      <c r="A185" s="6"/>
      <c r="C185" s="279" t="s">
        <v>441</v>
      </c>
      <c r="D185" s="129">
        <f>SUM(D159:D184)</f>
        <v>301250</v>
      </c>
      <c r="E185" s="140">
        <f t="shared" ref="E185:P185" si="12">($D160*(E160/100))+($D161*(E161/100))+($D162*(E162/100))+($D163*(E163/100))+($D164*(E164/100))+($D165*(E165/100))+($D166*(E166/100))+($D167*(E167/100))+($D168*(E168/100))+($D169*(E169/100))+($D170*(E170/100))+($D171*(E171/100))+($D172*(E172/100))+($D173*(E173/100))+($D174*(E174/100))+($D175*(E175/100))+($D176*(E176/100))+($D177*(E177/100))+($D178*(E178/100))+($D179*(E179/100))+($D180*(E180/100))+($D181*(E181/100))+($D182*(E182/100))+($D183*(E183/100))+($D184*(E184/100))</f>
        <v>0</v>
      </c>
      <c r="F185" s="140">
        <f t="shared" si="12"/>
        <v>0</v>
      </c>
      <c r="G185" s="140">
        <f t="shared" si="12"/>
        <v>0</v>
      </c>
      <c r="H185" s="140">
        <f t="shared" si="12"/>
        <v>0</v>
      </c>
      <c r="I185" s="140">
        <f t="shared" si="12"/>
        <v>0</v>
      </c>
      <c r="J185" s="140">
        <f t="shared" si="12"/>
        <v>0</v>
      </c>
      <c r="K185" s="140">
        <f t="shared" si="12"/>
        <v>0</v>
      </c>
      <c r="L185" s="140">
        <f t="shared" si="12"/>
        <v>0</v>
      </c>
      <c r="M185" s="140">
        <f t="shared" si="12"/>
        <v>0</v>
      </c>
      <c r="N185" s="140">
        <f t="shared" si="12"/>
        <v>0</v>
      </c>
      <c r="O185" s="140">
        <f t="shared" si="12"/>
        <v>0</v>
      </c>
      <c r="P185" s="17">
        <f t="shared" si="12"/>
        <v>0</v>
      </c>
      <c r="Q185" s="7"/>
    </row>
    <row r="186" spans="1:17" ht="13.5" thickBot="1" x14ac:dyDescent="0.25">
      <c r="A186" s="26"/>
      <c r="B186" s="27"/>
      <c r="C186" s="27"/>
      <c r="D186" s="118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8"/>
    </row>
    <row r="187" spans="1:17" ht="13.5" thickBot="1" x14ac:dyDescent="0.25">
      <c r="A187" s="21"/>
      <c r="B187" s="285" t="s">
        <v>386</v>
      </c>
      <c r="C187" s="285"/>
      <c r="D187" s="331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6" t="s">
        <v>456</v>
      </c>
      <c r="P187" s="285"/>
      <c r="Q187" s="23"/>
    </row>
    <row r="188" spans="1:17" x14ac:dyDescent="0.2">
      <c r="A188" s="6"/>
      <c r="C188" s="186" t="s">
        <v>234</v>
      </c>
      <c r="D188" s="332" t="s">
        <v>41</v>
      </c>
      <c r="E188" s="508" t="s">
        <v>400</v>
      </c>
      <c r="F188" s="509"/>
      <c r="G188" s="509"/>
      <c r="H188" s="509"/>
      <c r="I188" s="509"/>
      <c r="J188" s="509"/>
      <c r="K188" s="509"/>
      <c r="L188" s="509"/>
      <c r="M188" s="509"/>
      <c r="N188" s="509"/>
      <c r="O188" s="509"/>
      <c r="P188" s="510"/>
      <c r="Q188" s="7"/>
    </row>
    <row r="189" spans="1:17" ht="13.5" thickBot="1" x14ac:dyDescent="0.25">
      <c r="A189" s="6"/>
      <c r="C189" s="190"/>
      <c r="D189" s="333"/>
      <c r="E189" s="361" t="s">
        <v>388</v>
      </c>
      <c r="F189" s="136" t="s">
        <v>389</v>
      </c>
      <c r="G189" s="136" t="s">
        <v>390</v>
      </c>
      <c r="H189" s="136" t="s">
        <v>391</v>
      </c>
      <c r="I189" s="136" t="s">
        <v>392</v>
      </c>
      <c r="J189" s="136" t="s">
        <v>393</v>
      </c>
      <c r="K189" s="136" t="s">
        <v>394</v>
      </c>
      <c r="L189" s="136" t="s">
        <v>395</v>
      </c>
      <c r="M189" s="136" t="s">
        <v>396</v>
      </c>
      <c r="N189" s="136" t="s">
        <v>397</v>
      </c>
      <c r="O189" s="136" t="s">
        <v>398</v>
      </c>
      <c r="P189" s="362" t="s">
        <v>399</v>
      </c>
      <c r="Q189" s="7"/>
    </row>
    <row r="190" spans="1:17" x14ac:dyDescent="0.2">
      <c r="A190" s="6"/>
      <c r="C190" s="485" t="s">
        <v>442</v>
      </c>
      <c r="D190" s="334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109"/>
      <c r="Q190" s="7"/>
    </row>
    <row r="191" spans="1:17" x14ac:dyDescent="0.2">
      <c r="A191" s="6"/>
      <c r="C191" s="147" t="s">
        <v>158</v>
      </c>
      <c r="D191" s="468">
        <f>(D67)</f>
        <v>0</v>
      </c>
      <c r="E191" s="463"/>
      <c r="F191" s="463"/>
      <c r="G191" s="463"/>
      <c r="H191" s="463"/>
      <c r="I191" s="463"/>
      <c r="J191" s="463"/>
      <c r="K191" s="463"/>
      <c r="L191" s="463"/>
      <c r="M191" s="463"/>
      <c r="N191" s="463"/>
      <c r="O191" s="463"/>
      <c r="P191" s="464"/>
      <c r="Q191" s="7"/>
    </row>
    <row r="192" spans="1:17" x14ac:dyDescent="0.2">
      <c r="A192" s="6"/>
      <c r="C192" s="147" t="s">
        <v>165</v>
      </c>
      <c r="D192" s="468">
        <f t="shared" ref="D192:D215" si="13">(D68)</f>
        <v>0</v>
      </c>
      <c r="E192" s="463"/>
      <c r="F192" s="463"/>
      <c r="G192" s="463"/>
      <c r="H192" s="463"/>
      <c r="I192" s="463"/>
      <c r="J192" s="463"/>
      <c r="K192" s="463"/>
      <c r="L192" s="463"/>
      <c r="M192" s="463"/>
      <c r="N192" s="463"/>
      <c r="O192" s="463"/>
      <c r="P192" s="464"/>
      <c r="Q192" s="7"/>
    </row>
    <row r="193" spans="1:17" x14ac:dyDescent="0.2">
      <c r="A193" s="6"/>
      <c r="C193" s="147" t="s">
        <v>167</v>
      </c>
      <c r="D193" s="468">
        <f t="shared" si="13"/>
        <v>13200</v>
      </c>
      <c r="E193" s="463"/>
      <c r="F193" s="463"/>
      <c r="G193" s="463"/>
      <c r="H193" s="463"/>
      <c r="I193" s="463"/>
      <c r="J193" s="463"/>
      <c r="K193" s="463"/>
      <c r="L193" s="463"/>
      <c r="M193" s="463"/>
      <c r="N193" s="463"/>
      <c r="O193" s="463"/>
      <c r="P193" s="464"/>
      <c r="Q193" s="7"/>
    </row>
    <row r="194" spans="1:17" x14ac:dyDescent="0.2">
      <c r="A194" s="6"/>
      <c r="C194" s="147" t="s">
        <v>168</v>
      </c>
      <c r="D194" s="468">
        <f t="shared" si="13"/>
        <v>0</v>
      </c>
      <c r="E194" s="463"/>
      <c r="F194" s="463"/>
      <c r="G194" s="463"/>
      <c r="H194" s="463"/>
      <c r="I194" s="463"/>
      <c r="J194" s="463"/>
      <c r="K194" s="463"/>
      <c r="L194" s="463"/>
      <c r="M194" s="463"/>
      <c r="N194" s="463"/>
      <c r="O194" s="463"/>
      <c r="P194" s="464"/>
      <c r="Q194" s="7"/>
    </row>
    <row r="195" spans="1:17" x14ac:dyDescent="0.2">
      <c r="A195" s="6"/>
      <c r="C195" s="147" t="s">
        <v>170</v>
      </c>
      <c r="D195" s="468">
        <f t="shared" si="13"/>
        <v>144000</v>
      </c>
      <c r="E195" s="463"/>
      <c r="F195" s="463"/>
      <c r="G195" s="463"/>
      <c r="H195" s="463"/>
      <c r="I195" s="463"/>
      <c r="J195" s="463"/>
      <c r="K195" s="463"/>
      <c r="L195" s="463"/>
      <c r="M195" s="463"/>
      <c r="N195" s="463"/>
      <c r="O195" s="463"/>
      <c r="P195" s="464"/>
      <c r="Q195" s="7"/>
    </row>
    <row r="196" spans="1:17" x14ac:dyDescent="0.2">
      <c r="A196" s="6"/>
      <c r="C196" s="147" t="s">
        <v>171</v>
      </c>
      <c r="D196" s="468">
        <f t="shared" si="13"/>
        <v>40000</v>
      </c>
      <c r="E196" s="463"/>
      <c r="F196" s="463"/>
      <c r="G196" s="463"/>
      <c r="H196" s="463"/>
      <c r="I196" s="463"/>
      <c r="J196" s="463"/>
      <c r="K196" s="463"/>
      <c r="L196" s="463"/>
      <c r="M196" s="463"/>
      <c r="N196" s="463"/>
      <c r="O196" s="463"/>
      <c r="P196" s="464"/>
      <c r="Q196" s="7"/>
    </row>
    <row r="197" spans="1:17" x14ac:dyDescent="0.2">
      <c r="A197" s="6"/>
      <c r="C197" s="147" t="s">
        <v>378</v>
      </c>
      <c r="D197" s="468">
        <f t="shared" si="13"/>
        <v>0</v>
      </c>
      <c r="E197" s="463"/>
      <c r="F197" s="463"/>
      <c r="G197" s="463"/>
      <c r="H197" s="463"/>
      <c r="I197" s="463"/>
      <c r="J197" s="463"/>
      <c r="K197" s="463"/>
      <c r="L197" s="463"/>
      <c r="M197" s="463"/>
      <c r="N197" s="463"/>
      <c r="O197" s="463"/>
      <c r="P197" s="464"/>
      <c r="Q197" s="7"/>
    </row>
    <row r="198" spans="1:17" x14ac:dyDescent="0.2">
      <c r="A198" s="6"/>
      <c r="C198" s="147" t="s">
        <v>175</v>
      </c>
      <c r="D198" s="468">
        <f t="shared" si="13"/>
        <v>7500</v>
      </c>
      <c r="E198" s="463"/>
      <c r="F198" s="463"/>
      <c r="G198" s="463"/>
      <c r="H198" s="463"/>
      <c r="I198" s="463"/>
      <c r="J198" s="463"/>
      <c r="K198" s="463"/>
      <c r="L198" s="463"/>
      <c r="M198" s="463"/>
      <c r="N198" s="463"/>
      <c r="O198" s="463"/>
      <c r="P198" s="464"/>
      <c r="Q198" s="7"/>
    </row>
    <row r="199" spans="1:17" x14ac:dyDescent="0.2">
      <c r="A199" s="6"/>
      <c r="C199" s="147" t="s">
        <v>379</v>
      </c>
      <c r="D199" s="468">
        <f t="shared" si="13"/>
        <v>500</v>
      </c>
      <c r="E199" s="463"/>
      <c r="F199" s="463"/>
      <c r="G199" s="463"/>
      <c r="H199" s="463"/>
      <c r="I199" s="463"/>
      <c r="J199" s="463"/>
      <c r="K199" s="463"/>
      <c r="L199" s="463"/>
      <c r="M199" s="463"/>
      <c r="N199" s="463"/>
      <c r="O199" s="463"/>
      <c r="P199" s="464"/>
      <c r="Q199" s="7"/>
    </row>
    <row r="200" spans="1:17" x14ac:dyDescent="0.2">
      <c r="A200" s="6"/>
      <c r="C200" s="147" t="s">
        <v>380</v>
      </c>
      <c r="D200" s="468">
        <f t="shared" si="13"/>
        <v>100</v>
      </c>
      <c r="E200" s="463"/>
      <c r="F200" s="463"/>
      <c r="G200" s="463"/>
      <c r="H200" s="463"/>
      <c r="I200" s="463"/>
      <c r="J200" s="463"/>
      <c r="K200" s="463"/>
      <c r="L200" s="463"/>
      <c r="M200" s="463"/>
      <c r="N200" s="463"/>
      <c r="O200" s="463"/>
      <c r="P200" s="464"/>
      <c r="Q200" s="7"/>
    </row>
    <row r="201" spans="1:17" x14ac:dyDescent="0.2">
      <c r="A201" s="6"/>
      <c r="C201" s="147" t="s">
        <v>381</v>
      </c>
      <c r="D201" s="468">
        <f t="shared" si="13"/>
        <v>7200</v>
      </c>
      <c r="E201" s="463"/>
      <c r="F201" s="463"/>
      <c r="G201" s="463"/>
      <c r="H201" s="463"/>
      <c r="I201" s="463"/>
      <c r="J201" s="463"/>
      <c r="K201" s="463"/>
      <c r="L201" s="463"/>
      <c r="M201" s="463"/>
      <c r="N201" s="463"/>
      <c r="O201" s="463"/>
      <c r="P201" s="464"/>
      <c r="Q201" s="7"/>
    </row>
    <row r="202" spans="1:17" x14ac:dyDescent="0.2">
      <c r="A202" s="6"/>
      <c r="C202" s="147" t="s">
        <v>382</v>
      </c>
      <c r="D202" s="468">
        <f t="shared" si="13"/>
        <v>7200</v>
      </c>
      <c r="E202" s="463"/>
      <c r="F202" s="463"/>
      <c r="G202" s="463"/>
      <c r="H202" s="463"/>
      <c r="I202" s="463"/>
      <c r="J202" s="463"/>
      <c r="K202" s="463"/>
      <c r="L202" s="463"/>
      <c r="M202" s="463"/>
      <c r="N202" s="463"/>
      <c r="O202" s="463"/>
      <c r="P202" s="464"/>
      <c r="Q202" s="7"/>
    </row>
    <row r="203" spans="1:17" x14ac:dyDescent="0.2">
      <c r="A203" s="6"/>
      <c r="C203" s="147" t="s">
        <v>196</v>
      </c>
      <c r="D203" s="468">
        <f t="shared" si="13"/>
        <v>0</v>
      </c>
      <c r="E203" s="463"/>
      <c r="F203" s="463"/>
      <c r="G203" s="463"/>
      <c r="H203" s="463"/>
      <c r="I203" s="463"/>
      <c r="J203" s="463"/>
      <c r="K203" s="463"/>
      <c r="L203" s="463"/>
      <c r="M203" s="463"/>
      <c r="N203" s="463"/>
      <c r="O203" s="463"/>
      <c r="P203" s="464"/>
      <c r="Q203" s="7"/>
    </row>
    <row r="204" spans="1:17" x14ac:dyDescent="0.2">
      <c r="A204" s="6"/>
      <c r="C204" s="147" t="s">
        <v>260</v>
      </c>
      <c r="D204" s="468">
        <f t="shared" si="13"/>
        <v>0</v>
      </c>
      <c r="E204" s="463"/>
      <c r="F204" s="463"/>
      <c r="G204" s="463"/>
      <c r="H204" s="463"/>
      <c r="I204" s="463"/>
      <c r="J204" s="463"/>
      <c r="K204" s="463"/>
      <c r="L204" s="463"/>
      <c r="M204" s="463"/>
      <c r="N204" s="463"/>
      <c r="O204" s="463"/>
      <c r="P204" s="464"/>
      <c r="Q204" s="7"/>
    </row>
    <row r="205" spans="1:17" x14ac:dyDescent="0.2">
      <c r="A205" s="6"/>
      <c r="C205" s="147" t="s">
        <v>261</v>
      </c>
      <c r="D205" s="468">
        <f t="shared" si="13"/>
        <v>4800</v>
      </c>
      <c r="E205" s="463"/>
      <c r="F205" s="463"/>
      <c r="G205" s="463"/>
      <c r="H205" s="463"/>
      <c r="I205" s="463"/>
      <c r="J205" s="463"/>
      <c r="K205" s="463"/>
      <c r="L205" s="463"/>
      <c r="M205" s="463"/>
      <c r="N205" s="463"/>
      <c r="O205" s="463"/>
      <c r="P205" s="464"/>
      <c r="Q205" s="7"/>
    </row>
    <row r="206" spans="1:17" x14ac:dyDescent="0.2">
      <c r="A206" s="6"/>
      <c r="C206" s="147" t="s">
        <v>44</v>
      </c>
      <c r="D206" s="468">
        <f t="shared" si="13"/>
        <v>6750</v>
      </c>
      <c r="E206" s="463"/>
      <c r="F206" s="463"/>
      <c r="G206" s="463"/>
      <c r="H206" s="463"/>
      <c r="I206" s="463"/>
      <c r="J206" s="463"/>
      <c r="K206" s="463"/>
      <c r="L206" s="463"/>
      <c r="M206" s="463"/>
      <c r="N206" s="463"/>
      <c r="O206" s="463"/>
      <c r="P206" s="464"/>
      <c r="Q206" s="7"/>
    </row>
    <row r="207" spans="1:17" x14ac:dyDescent="0.2">
      <c r="A207" s="6"/>
      <c r="C207" s="147" t="s">
        <v>182</v>
      </c>
      <c r="D207" s="468">
        <f t="shared" si="13"/>
        <v>5000</v>
      </c>
      <c r="E207" s="463"/>
      <c r="F207" s="463"/>
      <c r="G207" s="463"/>
      <c r="H207" s="463"/>
      <c r="I207" s="463"/>
      <c r="J207" s="463"/>
      <c r="K207" s="463"/>
      <c r="L207" s="463"/>
      <c r="M207" s="463"/>
      <c r="N207" s="463"/>
      <c r="O207" s="463"/>
      <c r="P207" s="464"/>
      <c r="Q207" s="7"/>
    </row>
    <row r="208" spans="1:17" x14ac:dyDescent="0.2">
      <c r="A208" s="6"/>
      <c r="C208" s="147" t="s">
        <v>183</v>
      </c>
      <c r="D208" s="468">
        <f t="shared" si="13"/>
        <v>0</v>
      </c>
      <c r="E208" s="463"/>
      <c r="F208" s="463"/>
      <c r="G208" s="463"/>
      <c r="H208" s="463"/>
      <c r="I208" s="463"/>
      <c r="J208" s="463"/>
      <c r="K208" s="463"/>
      <c r="L208" s="463"/>
      <c r="M208" s="463"/>
      <c r="N208" s="463"/>
      <c r="O208" s="463"/>
      <c r="P208" s="464"/>
      <c r="Q208" s="7"/>
    </row>
    <row r="209" spans="1:17" x14ac:dyDescent="0.2">
      <c r="A209" s="6"/>
      <c r="C209" s="147" t="s">
        <v>200</v>
      </c>
      <c r="D209" s="468">
        <f t="shared" si="13"/>
        <v>20000</v>
      </c>
      <c r="E209" s="463"/>
      <c r="F209" s="463"/>
      <c r="G209" s="463"/>
      <c r="H209" s="463"/>
      <c r="I209" s="463"/>
      <c r="J209" s="463"/>
      <c r="K209" s="463"/>
      <c r="L209" s="463"/>
      <c r="M209" s="463"/>
      <c r="N209" s="463"/>
      <c r="O209" s="463"/>
      <c r="P209" s="464"/>
      <c r="Q209" s="7"/>
    </row>
    <row r="210" spans="1:17" x14ac:dyDescent="0.2">
      <c r="A210" s="6"/>
      <c r="C210" s="147" t="s">
        <v>201</v>
      </c>
      <c r="D210" s="468">
        <f t="shared" si="13"/>
        <v>15000</v>
      </c>
      <c r="E210" s="463"/>
      <c r="F210" s="463"/>
      <c r="G210" s="463"/>
      <c r="H210" s="463"/>
      <c r="I210" s="463"/>
      <c r="J210" s="463"/>
      <c r="K210" s="463"/>
      <c r="L210" s="463"/>
      <c r="M210" s="463"/>
      <c r="N210" s="463"/>
      <c r="O210" s="463"/>
      <c r="P210" s="464"/>
      <c r="Q210" s="7"/>
    </row>
    <row r="211" spans="1:17" x14ac:dyDescent="0.2">
      <c r="A211" s="6"/>
      <c r="C211" s="147" t="s">
        <v>195</v>
      </c>
      <c r="D211" s="468">
        <f t="shared" si="13"/>
        <v>0</v>
      </c>
      <c r="E211" s="463"/>
      <c r="F211" s="463"/>
      <c r="G211" s="463"/>
      <c r="H211" s="463"/>
      <c r="I211" s="463"/>
      <c r="J211" s="463"/>
      <c r="K211" s="463"/>
      <c r="L211" s="463"/>
      <c r="M211" s="463"/>
      <c r="N211" s="463"/>
      <c r="O211" s="463"/>
      <c r="P211" s="464"/>
      <c r="Q211" s="7"/>
    </row>
    <row r="212" spans="1:17" x14ac:dyDescent="0.2">
      <c r="A212" s="6"/>
      <c r="C212" s="147" t="s">
        <v>413</v>
      </c>
      <c r="D212" s="468">
        <f t="shared" si="13"/>
        <v>25000</v>
      </c>
      <c r="E212" s="463"/>
      <c r="F212" s="463"/>
      <c r="G212" s="463"/>
      <c r="H212" s="463"/>
      <c r="I212" s="463"/>
      <c r="J212" s="463"/>
      <c r="K212" s="463"/>
      <c r="L212" s="463"/>
      <c r="M212" s="463"/>
      <c r="N212" s="463"/>
      <c r="O212" s="463"/>
      <c r="P212" s="464"/>
      <c r="Q212" s="7"/>
    </row>
    <row r="213" spans="1:17" x14ac:dyDescent="0.2">
      <c r="A213" s="6"/>
      <c r="C213" s="147" t="s">
        <v>414</v>
      </c>
      <c r="D213" s="468">
        <f t="shared" si="13"/>
        <v>0</v>
      </c>
      <c r="E213" s="463"/>
      <c r="F213" s="463"/>
      <c r="G213" s="463"/>
      <c r="H213" s="463"/>
      <c r="I213" s="463"/>
      <c r="J213" s="463"/>
      <c r="K213" s="463"/>
      <c r="L213" s="463"/>
      <c r="M213" s="463"/>
      <c r="N213" s="463"/>
      <c r="O213" s="463"/>
      <c r="P213" s="464"/>
      <c r="Q213" s="7"/>
    </row>
    <row r="214" spans="1:17" x14ac:dyDescent="0.2">
      <c r="A214" s="6"/>
      <c r="C214" s="147" t="s">
        <v>429</v>
      </c>
      <c r="D214" s="468">
        <f t="shared" si="13"/>
        <v>0</v>
      </c>
      <c r="E214" s="463"/>
      <c r="F214" s="463"/>
      <c r="G214" s="463"/>
      <c r="H214" s="463"/>
      <c r="I214" s="463"/>
      <c r="J214" s="463"/>
      <c r="K214" s="463"/>
      <c r="L214" s="463"/>
      <c r="M214" s="463"/>
      <c r="N214" s="463"/>
      <c r="O214" s="463"/>
      <c r="P214" s="464"/>
      <c r="Q214" s="7"/>
    </row>
    <row r="215" spans="1:17" ht="13.5" thickBot="1" x14ac:dyDescent="0.25">
      <c r="A215" s="6"/>
      <c r="C215" s="9" t="s">
        <v>428</v>
      </c>
      <c r="D215" s="468">
        <f t="shared" si="13"/>
        <v>5000</v>
      </c>
      <c r="E215" s="465"/>
      <c r="F215" s="465"/>
      <c r="G215" s="465"/>
      <c r="H215" s="465"/>
      <c r="I215" s="465"/>
      <c r="J215" s="465"/>
      <c r="K215" s="465"/>
      <c r="L215" s="465"/>
      <c r="M215" s="465"/>
      <c r="N215" s="465"/>
      <c r="O215" s="465"/>
      <c r="P215" s="466"/>
      <c r="Q215" s="7"/>
    </row>
    <row r="216" spans="1:17" ht="13.5" thickBot="1" x14ac:dyDescent="0.25">
      <c r="A216" s="6"/>
      <c r="C216" s="279" t="s">
        <v>443</v>
      </c>
      <c r="D216" s="129">
        <f>SUM(D190:D215)</f>
        <v>301250</v>
      </c>
      <c r="E216" s="140">
        <f t="shared" ref="E216:P216" si="14">($D191*(E191/100))+($D192*(E192/100))+($D193*(E193/100))+($D194*(E194/100))+($D195*(E195/100))+($D196*(E196/100))+($D197*(E197/100))+($D198*(E198/100))+($D199*(E199/100))+($D200*(E200/100))+($D201*(E201/100))+($D202*(E202/100))+($D203*(E203/100))+($D204*(E204/100))+($D205*(E205/100))+($D206*(E206/100))+($D207*(E207/100))+($D208*(E208/100))+($D209*(E209/100))+($D210*(E210/100))+($D211*(E211/100))+($D212*(E212/100))+($D213*(E213/100))+($D214*(E214/100))+($D215*(E215/100))</f>
        <v>0</v>
      </c>
      <c r="F216" s="140">
        <f t="shared" si="14"/>
        <v>0</v>
      </c>
      <c r="G216" s="140">
        <f t="shared" si="14"/>
        <v>0</v>
      </c>
      <c r="H216" s="140">
        <f t="shared" si="14"/>
        <v>0</v>
      </c>
      <c r="I216" s="140">
        <f t="shared" si="14"/>
        <v>0</v>
      </c>
      <c r="J216" s="140">
        <f t="shared" si="14"/>
        <v>0</v>
      </c>
      <c r="K216" s="140">
        <f t="shared" si="14"/>
        <v>0</v>
      </c>
      <c r="L216" s="140">
        <f t="shared" si="14"/>
        <v>0</v>
      </c>
      <c r="M216" s="140">
        <f t="shared" si="14"/>
        <v>0</v>
      </c>
      <c r="N216" s="140">
        <f t="shared" si="14"/>
        <v>0</v>
      </c>
      <c r="O216" s="140">
        <f t="shared" si="14"/>
        <v>0</v>
      </c>
      <c r="P216" s="17">
        <f t="shared" si="14"/>
        <v>0</v>
      </c>
      <c r="Q216" s="7"/>
    </row>
    <row r="217" spans="1:17" ht="13.5" thickBot="1" x14ac:dyDescent="0.25">
      <c r="A217" s="26"/>
      <c r="B217" s="27"/>
      <c r="C217" s="27"/>
      <c r="D217" s="118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8"/>
    </row>
    <row r="218" spans="1:17" ht="13.5" thickBot="1" x14ac:dyDescent="0.25">
      <c r="A218" s="21"/>
      <c r="B218" s="285" t="s">
        <v>386</v>
      </c>
      <c r="C218" s="285"/>
      <c r="D218" s="331"/>
      <c r="E218" s="285"/>
      <c r="F218" s="285"/>
      <c r="G218" s="285"/>
      <c r="H218" s="285"/>
      <c r="I218" s="285"/>
      <c r="J218" s="285"/>
      <c r="K218" s="285"/>
      <c r="L218" s="285"/>
      <c r="M218" s="285"/>
      <c r="N218" s="285"/>
      <c r="O218" s="286" t="s">
        <v>457</v>
      </c>
      <c r="P218" s="285"/>
      <c r="Q218" s="23"/>
    </row>
    <row r="219" spans="1:17" x14ac:dyDescent="0.2">
      <c r="A219" s="6"/>
      <c r="C219" s="186" t="s">
        <v>234</v>
      </c>
      <c r="D219" s="332" t="s">
        <v>41</v>
      </c>
      <c r="E219" s="508" t="s">
        <v>400</v>
      </c>
      <c r="F219" s="509"/>
      <c r="G219" s="509"/>
      <c r="H219" s="509"/>
      <c r="I219" s="509"/>
      <c r="J219" s="509"/>
      <c r="K219" s="509"/>
      <c r="L219" s="509"/>
      <c r="M219" s="509"/>
      <c r="N219" s="509"/>
      <c r="O219" s="509"/>
      <c r="P219" s="510"/>
      <c r="Q219" s="7"/>
    </row>
    <row r="220" spans="1:17" ht="13.5" thickBot="1" x14ac:dyDescent="0.25">
      <c r="A220" s="6"/>
      <c r="C220" s="190"/>
      <c r="D220" s="333"/>
      <c r="E220" s="361" t="s">
        <v>388</v>
      </c>
      <c r="F220" s="136" t="s">
        <v>389</v>
      </c>
      <c r="G220" s="136" t="s">
        <v>390</v>
      </c>
      <c r="H220" s="136" t="s">
        <v>391</v>
      </c>
      <c r="I220" s="136" t="s">
        <v>392</v>
      </c>
      <c r="J220" s="136" t="s">
        <v>393</v>
      </c>
      <c r="K220" s="136" t="s">
        <v>394</v>
      </c>
      <c r="L220" s="136" t="s">
        <v>395</v>
      </c>
      <c r="M220" s="136" t="s">
        <v>396</v>
      </c>
      <c r="N220" s="136" t="s">
        <v>397</v>
      </c>
      <c r="O220" s="136" t="s">
        <v>398</v>
      </c>
      <c r="P220" s="362" t="s">
        <v>399</v>
      </c>
      <c r="Q220" s="7"/>
    </row>
    <row r="221" spans="1:17" x14ac:dyDescent="0.2">
      <c r="A221" s="6"/>
      <c r="C221" s="485" t="s">
        <v>444</v>
      </c>
      <c r="D221" s="334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109"/>
      <c r="Q221" s="7"/>
    </row>
    <row r="222" spans="1:17" x14ac:dyDescent="0.2">
      <c r="A222" s="6"/>
      <c r="C222" s="147" t="s">
        <v>158</v>
      </c>
      <c r="D222" s="468">
        <f>(D67)</f>
        <v>0</v>
      </c>
      <c r="E222" s="463"/>
      <c r="F222" s="463"/>
      <c r="G222" s="463"/>
      <c r="H222" s="463"/>
      <c r="I222" s="463"/>
      <c r="J222" s="463"/>
      <c r="K222" s="463"/>
      <c r="L222" s="463"/>
      <c r="M222" s="463"/>
      <c r="N222" s="463"/>
      <c r="O222" s="463"/>
      <c r="P222" s="464"/>
      <c r="Q222" s="7"/>
    </row>
    <row r="223" spans="1:17" x14ac:dyDescent="0.2">
      <c r="A223" s="6"/>
      <c r="C223" s="147" t="s">
        <v>165</v>
      </c>
      <c r="D223" s="468">
        <f t="shared" ref="D223:D246" si="15">(D68)</f>
        <v>0</v>
      </c>
      <c r="E223" s="463"/>
      <c r="F223" s="463"/>
      <c r="G223" s="463"/>
      <c r="H223" s="463"/>
      <c r="I223" s="463"/>
      <c r="J223" s="463"/>
      <c r="K223" s="463"/>
      <c r="L223" s="463"/>
      <c r="M223" s="463"/>
      <c r="N223" s="463"/>
      <c r="O223" s="463"/>
      <c r="P223" s="464"/>
      <c r="Q223" s="7"/>
    </row>
    <row r="224" spans="1:17" x14ac:dyDescent="0.2">
      <c r="A224" s="6"/>
      <c r="C224" s="147" t="s">
        <v>167</v>
      </c>
      <c r="D224" s="468">
        <f t="shared" si="15"/>
        <v>13200</v>
      </c>
      <c r="E224" s="463"/>
      <c r="F224" s="463"/>
      <c r="G224" s="463"/>
      <c r="H224" s="463"/>
      <c r="I224" s="463"/>
      <c r="J224" s="463"/>
      <c r="K224" s="463"/>
      <c r="L224" s="463"/>
      <c r="M224" s="463"/>
      <c r="N224" s="463"/>
      <c r="O224" s="463"/>
      <c r="P224" s="464"/>
      <c r="Q224" s="7"/>
    </row>
    <row r="225" spans="1:17" x14ac:dyDescent="0.2">
      <c r="A225" s="6"/>
      <c r="C225" s="147" t="s">
        <v>168</v>
      </c>
      <c r="D225" s="468">
        <f t="shared" si="15"/>
        <v>0</v>
      </c>
      <c r="E225" s="463"/>
      <c r="F225" s="463"/>
      <c r="G225" s="463"/>
      <c r="H225" s="463"/>
      <c r="I225" s="463"/>
      <c r="J225" s="463"/>
      <c r="K225" s="463"/>
      <c r="L225" s="463"/>
      <c r="M225" s="463"/>
      <c r="N225" s="463"/>
      <c r="O225" s="463"/>
      <c r="P225" s="464"/>
      <c r="Q225" s="7"/>
    </row>
    <row r="226" spans="1:17" x14ac:dyDescent="0.2">
      <c r="A226" s="6"/>
      <c r="C226" s="147" t="s">
        <v>170</v>
      </c>
      <c r="D226" s="468">
        <f t="shared" si="15"/>
        <v>144000</v>
      </c>
      <c r="E226" s="463"/>
      <c r="F226" s="463"/>
      <c r="G226" s="463"/>
      <c r="H226" s="463"/>
      <c r="I226" s="463"/>
      <c r="J226" s="463"/>
      <c r="K226" s="463"/>
      <c r="L226" s="463"/>
      <c r="M226" s="463"/>
      <c r="N226" s="463"/>
      <c r="O226" s="463"/>
      <c r="P226" s="464"/>
      <c r="Q226" s="7"/>
    </row>
    <row r="227" spans="1:17" x14ac:dyDescent="0.2">
      <c r="A227" s="6"/>
      <c r="C227" s="147" t="s">
        <v>171</v>
      </c>
      <c r="D227" s="468">
        <f t="shared" si="15"/>
        <v>40000</v>
      </c>
      <c r="E227" s="463"/>
      <c r="F227" s="463"/>
      <c r="G227" s="463"/>
      <c r="H227" s="463"/>
      <c r="I227" s="463"/>
      <c r="J227" s="463"/>
      <c r="K227" s="463"/>
      <c r="L227" s="463"/>
      <c r="M227" s="463"/>
      <c r="N227" s="463"/>
      <c r="O227" s="463"/>
      <c r="P227" s="464"/>
      <c r="Q227" s="7"/>
    </row>
    <row r="228" spans="1:17" x14ac:dyDescent="0.2">
      <c r="A228" s="6"/>
      <c r="C228" s="147" t="s">
        <v>378</v>
      </c>
      <c r="D228" s="468">
        <f t="shared" si="15"/>
        <v>0</v>
      </c>
      <c r="E228" s="463"/>
      <c r="F228" s="463"/>
      <c r="G228" s="463"/>
      <c r="H228" s="463"/>
      <c r="I228" s="463"/>
      <c r="J228" s="463"/>
      <c r="K228" s="463"/>
      <c r="L228" s="463"/>
      <c r="M228" s="463"/>
      <c r="N228" s="463"/>
      <c r="O228" s="463"/>
      <c r="P228" s="464"/>
      <c r="Q228" s="7"/>
    </row>
    <row r="229" spans="1:17" x14ac:dyDescent="0.2">
      <c r="A229" s="6"/>
      <c r="C229" s="147" t="s">
        <v>175</v>
      </c>
      <c r="D229" s="468">
        <f t="shared" si="15"/>
        <v>7500</v>
      </c>
      <c r="E229" s="463"/>
      <c r="F229" s="463"/>
      <c r="G229" s="463"/>
      <c r="H229" s="463"/>
      <c r="I229" s="463"/>
      <c r="J229" s="463"/>
      <c r="K229" s="463"/>
      <c r="L229" s="463"/>
      <c r="M229" s="463"/>
      <c r="N229" s="463"/>
      <c r="O229" s="463"/>
      <c r="P229" s="464"/>
      <c r="Q229" s="7"/>
    </row>
    <row r="230" spans="1:17" x14ac:dyDescent="0.2">
      <c r="A230" s="6"/>
      <c r="C230" s="147" t="s">
        <v>379</v>
      </c>
      <c r="D230" s="468">
        <f t="shared" si="15"/>
        <v>500</v>
      </c>
      <c r="E230" s="463"/>
      <c r="F230" s="463"/>
      <c r="G230" s="463"/>
      <c r="H230" s="463"/>
      <c r="I230" s="463"/>
      <c r="J230" s="463"/>
      <c r="K230" s="463"/>
      <c r="L230" s="463"/>
      <c r="M230" s="463"/>
      <c r="N230" s="463"/>
      <c r="O230" s="463"/>
      <c r="P230" s="464"/>
      <c r="Q230" s="7"/>
    </row>
    <row r="231" spans="1:17" x14ac:dyDescent="0.2">
      <c r="A231" s="6"/>
      <c r="C231" s="147" t="s">
        <v>380</v>
      </c>
      <c r="D231" s="468">
        <f t="shared" si="15"/>
        <v>100</v>
      </c>
      <c r="E231" s="463"/>
      <c r="F231" s="463"/>
      <c r="G231" s="463"/>
      <c r="H231" s="463"/>
      <c r="I231" s="463"/>
      <c r="J231" s="463"/>
      <c r="K231" s="463"/>
      <c r="L231" s="463"/>
      <c r="M231" s="463"/>
      <c r="N231" s="463"/>
      <c r="O231" s="463"/>
      <c r="P231" s="464"/>
      <c r="Q231" s="7"/>
    </row>
    <row r="232" spans="1:17" x14ac:dyDescent="0.2">
      <c r="A232" s="6"/>
      <c r="C232" s="147" t="s">
        <v>381</v>
      </c>
      <c r="D232" s="468">
        <f t="shared" si="15"/>
        <v>7200</v>
      </c>
      <c r="E232" s="463"/>
      <c r="F232" s="463"/>
      <c r="G232" s="463"/>
      <c r="H232" s="463"/>
      <c r="I232" s="463"/>
      <c r="J232" s="463"/>
      <c r="K232" s="463"/>
      <c r="L232" s="463"/>
      <c r="M232" s="463"/>
      <c r="N232" s="463"/>
      <c r="O232" s="463"/>
      <c r="P232" s="464"/>
      <c r="Q232" s="7"/>
    </row>
    <row r="233" spans="1:17" x14ac:dyDescent="0.2">
      <c r="A233" s="6"/>
      <c r="C233" s="147" t="s">
        <v>382</v>
      </c>
      <c r="D233" s="468">
        <f t="shared" si="15"/>
        <v>7200</v>
      </c>
      <c r="E233" s="463"/>
      <c r="F233" s="463"/>
      <c r="G233" s="463"/>
      <c r="H233" s="463"/>
      <c r="I233" s="463"/>
      <c r="J233" s="463"/>
      <c r="K233" s="463"/>
      <c r="L233" s="463"/>
      <c r="M233" s="463"/>
      <c r="N233" s="463"/>
      <c r="O233" s="463"/>
      <c r="P233" s="464"/>
      <c r="Q233" s="7"/>
    </row>
    <row r="234" spans="1:17" x14ac:dyDescent="0.2">
      <c r="A234" s="6"/>
      <c r="C234" s="147" t="s">
        <v>196</v>
      </c>
      <c r="D234" s="468">
        <f t="shared" si="15"/>
        <v>0</v>
      </c>
      <c r="E234" s="463"/>
      <c r="F234" s="463"/>
      <c r="G234" s="463"/>
      <c r="H234" s="463"/>
      <c r="I234" s="463"/>
      <c r="J234" s="463"/>
      <c r="K234" s="463"/>
      <c r="L234" s="463"/>
      <c r="M234" s="463"/>
      <c r="N234" s="463"/>
      <c r="O234" s="463"/>
      <c r="P234" s="464"/>
      <c r="Q234" s="7"/>
    </row>
    <row r="235" spans="1:17" x14ac:dyDescent="0.2">
      <c r="A235" s="6"/>
      <c r="C235" s="147" t="s">
        <v>260</v>
      </c>
      <c r="D235" s="468">
        <f t="shared" si="15"/>
        <v>0</v>
      </c>
      <c r="E235" s="463"/>
      <c r="F235" s="463"/>
      <c r="G235" s="463"/>
      <c r="H235" s="463"/>
      <c r="I235" s="463"/>
      <c r="J235" s="463"/>
      <c r="K235" s="463"/>
      <c r="L235" s="463"/>
      <c r="M235" s="463"/>
      <c r="N235" s="463"/>
      <c r="O235" s="463"/>
      <c r="P235" s="464"/>
      <c r="Q235" s="7"/>
    </row>
    <row r="236" spans="1:17" x14ac:dyDescent="0.2">
      <c r="A236" s="6"/>
      <c r="C236" s="147" t="s">
        <v>261</v>
      </c>
      <c r="D236" s="468">
        <f t="shared" si="15"/>
        <v>4800</v>
      </c>
      <c r="E236" s="463"/>
      <c r="F236" s="463"/>
      <c r="G236" s="463"/>
      <c r="H236" s="463"/>
      <c r="I236" s="463"/>
      <c r="J236" s="463"/>
      <c r="K236" s="463"/>
      <c r="L236" s="463"/>
      <c r="M236" s="463"/>
      <c r="N236" s="463"/>
      <c r="O236" s="463"/>
      <c r="P236" s="464"/>
      <c r="Q236" s="7"/>
    </row>
    <row r="237" spans="1:17" x14ac:dyDescent="0.2">
      <c r="A237" s="6"/>
      <c r="C237" s="147" t="s">
        <v>44</v>
      </c>
      <c r="D237" s="468">
        <f t="shared" si="15"/>
        <v>6750</v>
      </c>
      <c r="E237" s="463"/>
      <c r="F237" s="463"/>
      <c r="G237" s="463"/>
      <c r="H237" s="463"/>
      <c r="I237" s="463"/>
      <c r="J237" s="463"/>
      <c r="K237" s="463"/>
      <c r="L237" s="463"/>
      <c r="M237" s="463"/>
      <c r="N237" s="463"/>
      <c r="O237" s="463"/>
      <c r="P237" s="464"/>
      <c r="Q237" s="7"/>
    </row>
    <row r="238" spans="1:17" x14ac:dyDescent="0.2">
      <c r="A238" s="6"/>
      <c r="C238" s="147" t="s">
        <v>182</v>
      </c>
      <c r="D238" s="468">
        <f t="shared" si="15"/>
        <v>5000</v>
      </c>
      <c r="E238" s="463"/>
      <c r="F238" s="463"/>
      <c r="G238" s="463"/>
      <c r="H238" s="463"/>
      <c r="I238" s="463"/>
      <c r="J238" s="463"/>
      <c r="K238" s="463"/>
      <c r="L238" s="463"/>
      <c r="M238" s="463"/>
      <c r="N238" s="463"/>
      <c r="O238" s="463"/>
      <c r="P238" s="464"/>
      <c r="Q238" s="7"/>
    </row>
    <row r="239" spans="1:17" x14ac:dyDescent="0.2">
      <c r="A239" s="6"/>
      <c r="C239" s="147" t="s">
        <v>183</v>
      </c>
      <c r="D239" s="468">
        <f t="shared" si="15"/>
        <v>0</v>
      </c>
      <c r="E239" s="463"/>
      <c r="F239" s="463"/>
      <c r="G239" s="463"/>
      <c r="H239" s="463"/>
      <c r="I239" s="463"/>
      <c r="J239" s="463"/>
      <c r="K239" s="463"/>
      <c r="L239" s="463"/>
      <c r="M239" s="463"/>
      <c r="N239" s="463"/>
      <c r="O239" s="463"/>
      <c r="P239" s="464"/>
      <c r="Q239" s="7"/>
    </row>
    <row r="240" spans="1:17" x14ac:dyDescent="0.2">
      <c r="A240" s="6"/>
      <c r="C240" s="147" t="s">
        <v>200</v>
      </c>
      <c r="D240" s="468">
        <f t="shared" si="15"/>
        <v>20000</v>
      </c>
      <c r="E240" s="463"/>
      <c r="F240" s="463"/>
      <c r="G240" s="463"/>
      <c r="H240" s="463"/>
      <c r="I240" s="463"/>
      <c r="J240" s="463"/>
      <c r="K240" s="463"/>
      <c r="L240" s="463"/>
      <c r="M240" s="463"/>
      <c r="N240" s="463"/>
      <c r="O240" s="463"/>
      <c r="P240" s="464"/>
      <c r="Q240" s="7"/>
    </row>
    <row r="241" spans="1:17" x14ac:dyDescent="0.2">
      <c r="A241" s="6"/>
      <c r="C241" s="147" t="s">
        <v>201</v>
      </c>
      <c r="D241" s="468">
        <f t="shared" si="15"/>
        <v>15000</v>
      </c>
      <c r="E241" s="463"/>
      <c r="F241" s="463"/>
      <c r="G241" s="463"/>
      <c r="H241" s="463"/>
      <c r="I241" s="463"/>
      <c r="J241" s="463"/>
      <c r="K241" s="463"/>
      <c r="L241" s="463"/>
      <c r="M241" s="463"/>
      <c r="N241" s="463"/>
      <c r="O241" s="463"/>
      <c r="P241" s="464"/>
      <c r="Q241" s="7"/>
    </row>
    <row r="242" spans="1:17" x14ac:dyDescent="0.2">
      <c r="A242" s="6"/>
      <c r="C242" s="147" t="s">
        <v>195</v>
      </c>
      <c r="D242" s="468">
        <f t="shared" si="15"/>
        <v>0</v>
      </c>
      <c r="E242" s="463"/>
      <c r="F242" s="463"/>
      <c r="G242" s="463"/>
      <c r="H242" s="463"/>
      <c r="I242" s="463"/>
      <c r="J242" s="463"/>
      <c r="K242" s="463"/>
      <c r="L242" s="463"/>
      <c r="M242" s="463"/>
      <c r="N242" s="463"/>
      <c r="O242" s="463"/>
      <c r="P242" s="464"/>
      <c r="Q242" s="7"/>
    </row>
    <row r="243" spans="1:17" x14ac:dyDescent="0.2">
      <c r="A243" s="6"/>
      <c r="C243" s="147" t="s">
        <v>413</v>
      </c>
      <c r="D243" s="468">
        <f t="shared" si="15"/>
        <v>25000</v>
      </c>
      <c r="E243" s="463"/>
      <c r="F243" s="463"/>
      <c r="G243" s="463"/>
      <c r="H243" s="463"/>
      <c r="I243" s="463"/>
      <c r="J243" s="463"/>
      <c r="K243" s="463"/>
      <c r="L243" s="463"/>
      <c r="M243" s="463"/>
      <c r="N243" s="463"/>
      <c r="O243" s="463"/>
      <c r="P243" s="464"/>
      <c r="Q243" s="7"/>
    </row>
    <row r="244" spans="1:17" x14ac:dyDescent="0.2">
      <c r="A244" s="6"/>
      <c r="C244" s="147" t="s">
        <v>414</v>
      </c>
      <c r="D244" s="468">
        <f t="shared" si="15"/>
        <v>0</v>
      </c>
      <c r="E244" s="463"/>
      <c r="F244" s="463"/>
      <c r="G244" s="463"/>
      <c r="H244" s="463"/>
      <c r="I244" s="463"/>
      <c r="J244" s="463"/>
      <c r="K244" s="463"/>
      <c r="L244" s="463"/>
      <c r="M244" s="463"/>
      <c r="N244" s="463"/>
      <c r="O244" s="463"/>
      <c r="P244" s="464"/>
      <c r="Q244" s="7"/>
    </row>
    <row r="245" spans="1:17" x14ac:dyDescent="0.2">
      <c r="A245" s="6"/>
      <c r="C245" s="147" t="s">
        <v>429</v>
      </c>
      <c r="D245" s="468">
        <f t="shared" si="15"/>
        <v>0</v>
      </c>
      <c r="E245" s="463"/>
      <c r="F245" s="463"/>
      <c r="G245" s="463"/>
      <c r="H245" s="463"/>
      <c r="I245" s="463"/>
      <c r="J245" s="463"/>
      <c r="K245" s="463"/>
      <c r="L245" s="463"/>
      <c r="M245" s="463"/>
      <c r="N245" s="463"/>
      <c r="O245" s="463"/>
      <c r="P245" s="464"/>
      <c r="Q245" s="7"/>
    </row>
    <row r="246" spans="1:17" ht="13.5" thickBot="1" x14ac:dyDescent="0.25">
      <c r="A246" s="6"/>
      <c r="C246" s="9" t="s">
        <v>428</v>
      </c>
      <c r="D246" s="468">
        <f t="shared" si="15"/>
        <v>5000</v>
      </c>
      <c r="E246" s="465"/>
      <c r="F246" s="465"/>
      <c r="G246" s="465"/>
      <c r="H246" s="465"/>
      <c r="I246" s="465"/>
      <c r="J246" s="465"/>
      <c r="K246" s="465"/>
      <c r="L246" s="465"/>
      <c r="M246" s="465"/>
      <c r="N246" s="465"/>
      <c r="O246" s="465"/>
      <c r="P246" s="466"/>
      <c r="Q246" s="7"/>
    </row>
    <row r="247" spans="1:17" ht="13.5" thickBot="1" x14ac:dyDescent="0.25">
      <c r="A247" s="6"/>
      <c r="C247" s="279" t="s">
        <v>445</v>
      </c>
      <c r="D247" s="129">
        <f>SUM(D221:D246)</f>
        <v>301250</v>
      </c>
      <c r="E247" s="140">
        <f t="shared" ref="E247:P247" si="16">($D222*(E222/100))+($D223*(E223/100))+($D224*(E224/100))+($D225*(E225/100))+($D226*(E226/100))+($D227*(E227/100))+($D228*(E228/100))+($D229*(E229/100))+($D230*(E230/100))+($D231*(E231/100))+($D232*(E232/100))+($D233*(E233/100))+($D234*(E234/100))+($D235*(E235/100))+($D236*(E236/100))+($D237*(E237/100))+($D238*(E238/100))+($D239*(E239/100))+($D240*(E240/100))+($D241*(E241/100))+($D242*(E242/100))+($D243*(E243/100))+($D244*(E244/100))+($D245*(E245/100))+($D246*(E246/100))</f>
        <v>0</v>
      </c>
      <c r="F247" s="140">
        <f t="shared" si="16"/>
        <v>0</v>
      </c>
      <c r="G247" s="140">
        <f t="shared" si="16"/>
        <v>0</v>
      </c>
      <c r="H247" s="140">
        <f t="shared" si="16"/>
        <v>0</v>
      </c>
      <c r="I247" s="140">
        <f t="shared" si="16"/>
        <v>0</v>
      </c>
      <c r="J247" s="140">
        <f t="shared" si="16"/>
        <v>0</v>
      </c>
      <c r="K247" s="140">
        <f t="shared" si="16"/>
        <v>0</v>
      </c>
      <c r="L247" s="140">
        <f t="shared" si="16"/>
        <v>0</v>
      </c>
      <c r="M247" s="140">
        <f t="shared" si="16"/>
        <v>0</v>
      </c>
      <c r="N247" s="140">
        <f t="shared" si="16"/>
        <v>0</v>
      </c>
      <c r="O247" s="140">
        <f t="shared" si="16"/>
        <v>0</v>
      </c>
      <c r="P247" s="17">
        <f t="shared" si="16"/>
        <v>0</v>
      </c>
      <c r="Q247" s="7"/>
    </row>
    <row r="248" spans="1:17" ht="13.5" thickBot="1" x14ac:dyDescent="0.25">
      <c r="A248" s="26"/>
      <c r="B248" s="27"/>
      <c r="C248" s="27"/>
      <c r="D248" s="118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8"/>
    </row>
    <row r="249" spans="1:17" ht="13.5" thickBot="1" x14ac:dyDescent="0.25">
      <c r="A249" s="21"/>
      <c r="B249" s="285" t="s">
        <v>386</v>
      </c>
      <c r="C249" s="285"/>
      <c r="D249" s="331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6" t="s">
        <v>458</v>
      </c>
      <c r="P249" s="285"/>
      <c r="Q249" s="23"/>
    </row>
    <row r="250" spans="1:17" x14ac:dyDescent="0.2">
      <c r="A250" s="6"/>
      <c r="C250" s="186" t="s">
        <v>234</v>
      </c>
      <c r="D250" s="332" t="s">
        <v>41</v>
      </c>
      <c r="E250" s="508" t="s">
        <v>400</v>
      </c>
      <c r="F250" s="509"/>
      <c r="G250" s="509"/>
      <c r="H250" s="509"/>
      <c r="I250" s="509"/>
      <c r="J250" s="509"/>
      <c r="K250" s="509"/>
      <c r="L250" s="509"/>
      <c r="M250" s="509"/>
      <c r="N250" s="509"/>
      <c r="O250" s="509"/>
      <c r="P250" s="510"/>
      <c r="Q250" s="7"/>
    </row>
    <row r="251" spans="1:17" ht="13.5" thickBot="1" x14ac:dyDescent="0.25">
      <c r="A251" s="6"/>
      <c r="C251" s="190"/>
      <c r="D251" s="333"/>
      <c r="E251" s="361" t="s">
        <v>388</v>
      </c>
      <c r="F251" s="136" t="s">
        <v>389</v>
      </c>
      <c r="G251" s="136" t="s">
        <v>390</v>
      </c>
      <c r="H251" s="136" t="s">
        <v>391</v>
      </c>
      <c r="I251" s="136" t="s">
        <v>392</v>
      </c>
      <c r="J251" s="136" t="s">
        <v>393</v>
      </c>
      <c r="K251" s="136" t="s">
        <v>394</v>
      </c>
      <c r="L251" s="136" t="s">
        <v>395</v>
      </c>
      <c r="M251" s="136" t="s">
        <v>396</v>
      </c>
      <c r="N251" s="136" t="s">
        <v>397</v>
      </c>
      <c r="O251" s="136" t="s">
        <v>398</v>
      </c>
      <c r="P251" s="362" t="s">
        <v>399</v>
      </c>
      <c r="Q251" s="7"/>
    </row>
    <row r="252" spans="1:17" x14ac:dyDescent="0.2">
      <c r="A252" s="6"/>
      <c r="C252" s="485" t="s">
        <v>446</v>
      </c>
      <c r="D252" s="334"/>
      <c r="E252" s="273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109"/>
      <c r="Q252" s="7"/>
    </row>
    <row r="253" spans="1:17" x14ac:dyDescent="0.2">
      <c r="A253" s="6"/>
      <c r="C253" s="147" t="s">
        <v>158</v>
      </c>
      <c r="D253" s="468">
        <f>(D67)</f>
        <v>0</v>
      </c>
      <c r="E253" s="463"/>
      <c r="F253" s="463"/>
      <c r="G253" s="463"/>
      <c r="H253" s="463"/>
      <c r="I253" s="463"/>
      <c r="J253" s="463"/>
      <c r="K253" s="463"/>
      <c r="L253" s="463"/>
      <c r="M253" s="463"/>
      <c r="N253" s="463"/>
      <c r="O253" s="463"/>
      <c r="P253" s="464"/>
      <c r="Q253" s="7"/>
    </row>
    <row r="254" spans="1:17" x14ac:dyDescent="0.2">
      <c r="A254" s="6"/>
      <c r="C254" s="147" t="s">
        <v>165</v>
      </c>
      <c r="D254" s="468">
        <f t="shared" ref="D254:D277" si="17">(D68)</f>
        <v>0</v>
      </c>
      <c r="E254" s="463"/>
      <c r="F254" s="463"/>
      <c r="G254" s="463"/>
      <c r="H254" s="463"/>
      <c r="I254" s="463"/>
      <c r="J254" s="463"/>
      <c r="K254" s="463"/>
      <c r="L254" s="463"/>
      <c r="M254" s="463"/>
      <c r="N254" s="463"/>
      <c r="O254" s="463"/>
      <c r="P254" s="464"/>
      <c r="Q254" s="7"/>
    </row>
    <row r="255" spans="1:17" x14ac:dyDescent="0.2">
      <c r="A255" s="6"/>
      <c r="C255" s="147" t="s">
        <v>167</v>
      </c>
      <c r="D255" s="468">
        <f t="shared" si="17"/>
        <v>13200</v>
      </c>
      <c r="E255" s="463"/>
      <c r="F255" s="463"/>
      <c r="G255" s="463"/>
      <c r="H255" s="463"/>
      <c r="I255" s="463"/>
      <c r="J255" s="463"/>
      <c r="K255" s="463"/>
      <c r="L255" s="463"/>
      <c r="M255" s="463"/>
      <c r="N255" s="463"/>
      <c r="O255" s="463"/>
      <c r="P255" s="464"/>
      <c r="Q255" s="7"/>
    </row>
    <row r="256" spans="1:17" x14ac:dyDescent="0.2">
      <c r="A256" s="6"/>
      <c r="C256" s="147" t="s">
        <v>168</v>
      </c>
      <c r="D256" s="468">
        <f t="shared" si="17"/>
        <v>0</v>
      </c>
      <c r="E256" s="463"/>
      <c r="F256" s="463"/>
      <c r="G256" s="463"/>
      <c r="H256" s="463"/>
      <c r="I256" s="463"/>
      <c r="J256" s="463"/>
      <c r="K256" s="463"/>
      <c r="L256" s="463"/>
      <c r="M256" s="463"/>
      <c r="N256" s="463"/>
      <c r="O256" s="463"/>
      <c r="P256" s="464"/>
      <c r="Q256" s="7"/>
    </row>
    <row r="257" spans="1:17" x14ac:dyDescent="0.2">
      <c r="A257" s="6"/>
      <c r="C257" s="147" t="s">
        <v>170</v>
      </c>
      <c r="D257" s="468">
        <f t="shared" si="17"/>
        <v>144000</v>
      </c>
      <c r="E257" s="463"/>
      <c r="F257" s="463"/>
      <c r="G257" s="463"/>
      <c r="H257" s="463"/>
      <c r="I257" s="463"/>
      <c r="J257" s="463"/>
      <c r="K257" s="463"/>
      <c r="L257" s="463"/>
      <c r="M257" s="463"/>
      <c r="N257" s="463"/>
      <c r="O257" s="463"/>
      <c r="P257" s="464"/>
      <c r="Q257" s="7"/>
    </row>
    <row r="258" spans="1:17" x14ac:dyDescent="0.2">
      <c r="A258" s="6"/>
      <c r="C258" s="147" t="s">
        <v>171</v>
      </c>
      <c r="D258" s="468">
        <f t="shared" si="17"/>
        <v>40000</v>
      </c>
      <c r="E258" s="463"/>
      <c r="F258" s="463"/>
      <c r="G258" s="463"/>
      <c r="H258" s="463"/>
      <c r="I258" s="463"/>
      <c r="J258" s="463"/>
      <c r="K258" s="463"/>
      <c r="L258" s="463"/>
      <c r="M258" s="463"/>
      <c r="N258" s="463"/>
      <c r="O258" s="463"/>
      <c r="P258" s="464"/>
      <c r="Q258" s="7"/>
    </row>
    <row r="259" spans="1:17" x14ac:dyDescent="0.2">
      <c r="A259" s="6"/>
      <c r="C259" s="147" t="s">
        <v>378</v>
      </c>
      <c r="D259" s="468">
        <f t="shared" si="17"/>
        <v>0</v>
      </c>
      <c r="E259" s="463"/>
      <c r="F259" s="463"/>
      <c r="G259" s="463"/>
      <c r="H259" s="463"/>
      <c r="I259" s="463"/>
      <c r="J259" s="463"/>
      <c r="K259" s="463"/>
      <c r="L259" s="463"/>
      <c r="M259" s="463"/>
      <c r="N259" s="463"/>
      <c r="O259" s="463"/>
      <c r="P259" s="464"/>
      <c r="Q259" s="7"/>
    </row>
    <row r="260" spans="1:17" x14ac:dyDescent="0.2">
      <c r="A260" s="6"/>
      <c r="C260" s="147" t="s">
        <v>175</v>
      </c>
      <c r="D260" s="468">
        <f t="shared" si="17"/>
        <v>7500</v>
      </c>
      <c r="E260" s="463"/>
      <c r="F260" s="463"/>
      <c r="G260" s="463"/>
      <c r="H260" s="463"/>
      <c r="I260" s="463"/>
      <c r="J260" s="463"/>
      <c r="K260" s="463"/>
      <c r="L260" s="463"/>
      <c r="M260" s="463"/>
      <c r="N260" s="463"/>
      <c r="O260" s="463"/>
      <c r="P260" s="464"/>
      <c r="Q260" s="7"/>
    </row>
    <row r="261" spans="1:17" x14ac:dyDescent="0.2">
      <c r="A261" s="6"/>
      <c r="C261" s="147" t="s">
        <v>379</v>
      </c>
      <c r="D261" s="468">
        <f t="shared" si="17"/>
        <v>500</v>
      </c>
      <c r="E261" s="463"/>
      <c r="F261" s="463"/>
      <c r="G261" s="463"/>
      <c r="H261" s="463"/>
      <c r="I261" s="463"/>
      <c r="J261" s="463"/>
      <c r="K261" s="463"/>
      <c r="L261" s="463"/>
      <c r="M261" s="463"/>
      <c r="N261" s="463"/>
      <c r="O261" s="463"/>
      <c r="P261" s="464"/>
      <c r="Q261" s="7"/>
    </row>
    <row r="262" spans="1:17" x14ac:dyDescent="0.2">
      <c r="A262" s="6"/>
      <c r="C262" s="147" t="s">
        <v>380</v>
      </c>
      <c r="D262" s="468">
        <f t="shared" si="17"/>
        <v>100</v>
      </c>
      <c r="E262" s="463"/>
      <c r="F262" s="463"/>
      <c r="G262" s="463"/>
      <c r="H262" s="463"/>
      <c r="I262" s="463"/>
      <c r="J262" s="463"/>
      <c r="K262" s="463"/>
      <c r="L262" s="463"/>
      <c r="M262" s="463"/>
      <c r="N262" s="463"/>
      <c r="O262" s="463"/>
      <c r="P262" s="464"/>
      <c r="Q262" s="7"/>
    </row>
    <row r="263" spans="1:17" x14ac:dyDescent="0.2">
      <c r="A263" s="6"/>
      <c r="C263" s="147" t="s">
        <v>381</v>
      </c>
      <c r="D263" s="468">
        <f t="shared" si="17"/>
        <v>7200</v>
      </c>
      <c r="E263" s="463"/>
      <c r="F263" s="463"/>
      <c r="G263" s="463"/>
      <c r="H263" s="463"/>
      <c r="I263" s="463"/>
      <c r="J263" s="463"/>
      <c r="K263" s="463"/>
      <c r="L263" s="463"/>
      <c r="M263" s="463"/>
      <c r="N263" s="463"/>
      <c r="O263" s="463"/>
      <c r="P263" s="464"/>
      <c r="Q263" s="7"/>
    </row>
    <row r="264" spans="1:17" x14ac:dyDescent="0.2">
      <c r="A264" s="6"/>
      <c r="C264" s="147" t="s">
        <v>382</v>
      </c>
      <c r="D264" s="468">
        <f t="shared" si="17"/>
        <v>7200</v>
      </c>
      <c r="E264" s="463"/>
      <c r="F264" s="463"/>
      <c r="G264" s="463"/>
      <c r="H264" s="463"/>
      <c r="I264" s="463"/>
      <c r="J264" s="463"/>
      <c r="K264" s="463"/>
      <c r="L264" s="463"/>
      <c r="M264" s="463"/>
      <c r="N264" s="463"/>
      <c r="O264" s="463"/>
      <c r="P264" s="464"/>
      <c r="Q264" s="7"/>
    </row>
    <row r="265" spans="1:17" x14ac:dyDescent="0.2">
      <c r="A265" s="6"/>
      <c r="C265" s="147" t="s">
        <v>196</v>
      </c>
      <c r="D265" s="468">
        <f t="shared" si="17"/>
        <v>0</v>
      </c>
      <c r="E265" s="463"/>
      <c r="F265" s="463"/>
      <c r="G265" s="463"/>
      <c r="H265" s="463"/>
      <c r="I265" s="463"/>
      <c r="J265" s="463"/>
      <c r="K265" s="463"/>
      <c r="L265" s="463"/>
      <c r="M265" s="463"/>
      <c r="N265" s="463"/>
      <c r="O265" s="463"/>
      <c r="P265" s="464"/>
      <c r="Q265" s="7"/>
    </row>
    <row r="266" spans="1:17" x14ac:dyDescent="0.2">
      <c r="A266" s="6"/>
      <c r="C266" s="147" t="s">
        <v>260</v>
      </c>
      <c r="D266" s="468">
        <f t="shared" si="17"/>
        <v>0</v>
      </c>
      <c r="E266" s="463"/>
      <c r="F266" s="463"/>
      <c r="G266" s="463"/>
      <c r="H266" s="463"/>
      <c r="I266" s="463"/>
      <c r="J266" s="463"/>
      <c r="K266" s="463"/>
      <c r="L266" s="463"/>
      <c r="M266" s="463"/>
      <c r="N266" s="463"/>
      <c r="O266" s="463"/>
      <c r="P266" s="464"/>
      <c r="Q266" s="7"/>
    </row>
    <row r="267" spans="1:17" x14ac:dyDescent="0.2">
      <c r="A267" s="6"/>
      <c r="C267" s="147" t="s">
        <v>261</v>
      </c>
      <c r="D267" s="468">
        <f t="shared" si="17"/>
        <v>4800</v>
      </c>
      <c r="E267" s="463"/>
      <c r="F267" s="463"/>
      <c r="G267" s="463"/>
      <c r="H267" s="463"/>
      <c r="I267" s="463"/>
      <c r="J267" s="463"/>
      <c r="K267" s="463"/>
      <c r="L267" s="463"/>
      <c r="M267" s="463"/>
      <c r="N267" s="463"/>
      <c r="O267" s="463"/>
      <c r="P267" s="464"/>
      <c r="Q267" s="7"/>
    </row>
    <row r="268" spans="1:17" x14ac:dyDescent="0.2">
      <c r="A268" s="6"/>
      <c r="C268" s="147" t="s">
        <v>44</v>
      </c>
      <c r="D268" s="468">
        <f t="shared" si="17"/>
        <v>6750</v>
      </c>
      <c r="E268" s="463"/>
      <c r="F268" s="463"/>
      <c r="G268" s="463"/>
      <c r="H268" s="463"/>
      <c r="I268" s="463"/>
      <c r="J268" s="463"/>
      <c r="K268" s="463"/>
      <c r="L268" s="463"/>
      <c r="M268" s="463"/>
      <c r="N268" s="463"/>
      <c r="O268" s="463"/>
      <c r="P268" s="464"/>
      <c r="Q268" s="7"/>
    </row>
    <row r="269" spans="1:17" x14ac:dyDescent="0.2">
      <c r="A269" s="6"/>
      <c r="C269" s="147" t="s">
        <v>182</v>
      </c>
      <c r="D269" s="468">
        <f t="shared" si="17"/>
        <v>5000</v>
      </c>
      <c r="E269" s="463"/>
      <c r="F269" s="463"/>
      <c r="G269" s="463"/>
      <c r="H269" s="463"/>
      <c r="I269" s="463"/>
      <c r="J269" s="463"/>
      <c r="K269" s="463"/>
      <c r="L269" s="463"/>
      <c r="M269" s="463"/>
      <c r="N269" s="463"/>
      <c r="O269" s="463"/>
      <c r="P269" s="464"/>
      <c r="Q269" s="7"/>
    </row>
    <row r="270" spans="1:17" x14ac:dyDescent="0.2">
      <c r="A270" s="6"/>
      <c r="C270" s="147" t="s">
        <v>183</v>
      </c>
      <c r="D270" s="468">
        <f t="shared" si="17"/>
        <v>0</v>
      </c>
      <c r="E270" s="463"/>
      <c r="F270" s="463"/>
      <c r="G270" s="463"/>
      <c r="H270" s="463"/>
      <c r="I270" s="463"/>
      <c r="J270" s="463"/>
      <c r="K270" s="463"/>
      <c r="L270" s="463"/>
      <c r="M270" s="463"/>
      <c r="N270" s="463"/>
      <c r="O270" s="463"/>
      <c r="P270" s="464"/>
      <c r="Q270" s="7"/>
    </row>
    <row r="271" spans="1:17" x14ac:dyDescent="0.2">
      <c r="A271" s="6"/>
      <c r="C271" s="147" t="s">
        <v>200</v>
      </c>
      <c r="D271" s="468">
        <f t="shared" si="17"/>
        <v>20000</v>
      </c>
      <c r="E271" s="463"/>
      <c r="F271" s="463"/>
      <c r="G271" s="463"/>
      <c r="H271" s="463"/>
      <c r="I271" s="463"/>
      <c r="J271" s="463"/>
      <c r="K271" s="463"/>
      <c r="L271" s="463"/>
      <c r="M271" s="463"/>
      <c r="N271" s="463"/>
      <c r="O271" s="463"/>
      <c r="P271" s="464"/>
      <c r="Q271" s="7"/>
    </row>
    <row r="272" spans="1:17" x14ac:dyDescent="0.2">
      <c r="A272" s="6"/>
      <c r="C272" s="147" t="s">
        <v>201</v>
      </c>
      <c r="D272" s="468">
        <f t="shared" si="17"/>
        <v>15000</v>
      </c>
      <c r="E272" s="463"/>
      <c r="F272" s="463"/>
      <c r="G272" s="463"/>
      <c r="H272" s="463"/>
      <c r="I272" s="463"/>
      <c r="J272" s="463"/>
      <c r="K272" s="463"/>
      <c r="L272" s="463"/>
      <c r="M272" s="463"/>
      <c r="N272" s="463"/>
      <c r="O272" s="463"/>
      <c r="P272" s="464"/>
      <c r="Q272" s="7"/>
    </row>
    <row r="273" spans="1:17" x14ac:dyDescent="0.2">
      <c r="A273" s="6"/>
      <c r="C273" s="147" t="s">
        <v>195</v>
      </c>
      <c r="D273" s="468">
        <f t="shared" si="17"/>
        <v>0</v>
      </c>
      <c r="E273" s="463"/>
      <c r="F273" s="463"/>
      <c r="G273" s="463"/>
      <c r="H273" s="463"/>
      <c r="I273" s="463"/>
      <c r="J273" s="463"/>
      <c r="K273" s="463"/>
      <c r="L273" s="463"/>
      <c r="M273" s="463"/>
      <c r="N273" s="463"/>
      <c r="O273" s="463"/>
      <c r="P273" s="464"/>
      <c r="Q273" s="7"/>
    </row>
    <row r="274" spans="1:17" x14ac:dyDescent="0.2">
      <c r="A274" s="6"/>
      <c r="C274" s="147" t="s">
        <v>413</v>
      </c>
      <c r="D274" s="468">
        <f t="shared" si="17"/>
        <v>25000</v>
      </c>
      <c r="E274" s="463"/>
      <c r="F274" s="463"/>
      <c r="G274" s="463"/>
      <c r="H274" s="463"/>
      <c r="I274" s="463"/>
      <c r="J274" s="463"/>
      <c r="K274" s="463"/>
      <c r="L274" s="463"/>
      <c r="M274" s="463"/>
      <c r="N274" s="463"/>
      <c r="O274" s="463"/>
      <c r="P274" s="464"/>
      <c r="Q274" s="7"/>
    </row>
    <row r="275" spans="1:17" x14ac:dyDescent="0.2">
      <c r="A275" s="6"/>
      <c r="C275" s="147" t="s">
        <v>414</v>
      </c>
      <c r="D275" s="468">
        <f t="shared" si="17"/>
        <v>0</v>
      </c>
      <c r="E275" s="463"/>
      <c r="F275" s="463"/>
      <c r="G275" s="463"/>
      <c r="H275" s="463"/>
      <c r="I275" s="463"/>
      <c r="J275" s="463"/>
      <c r="K275" s="463"/>
      <c r="L275" s="463"/>
      <c r="M275" s="463"/>
      <c r="N275" s="463"/>
      <c r="O275" s="463"/>
      <c r="P275" s="464"/>
      <c r="Q275" s="7"/>
    </row>
    <row r="276" spans="1:17" x14ac:dyDescent="0.2">
      <c r="A276" s="6"/>
      <c r="C276" s="147" t="s">
        <v>429</v>
      </c>
      <c r="D276" s="468">
        <f t="shared" si="17"/>
        <v>0</v>
      </c>
      <c r="E276" s="463"/>
      <c r="F276" s="463"/>
      <c r="G276" s="463"/>
      <c r="H276" s="463"/>
      <c r="I276" s="463"/>
      <c r="J276" s="463"/>
      <c r="K276" s="463"/>
      <c r="L276" s="463"/>
      <c r="M276" s="463"/>
      <c r="N276" s="463"/>
      <c r="O276" s="463"/>
      <c r="P276" s="464"/>
      <c r="Q276" s="7"/>
    </row>
    <row r="277" spans="1:17" ht="13.5" thickBot="1" x14ac:dyDescent="0.25">
      <c r="A277" s="6"/>
      <c r="C277" s="9" t="s">
        <v>428</v>
      </c>
      <c r="D277" s="468">
        <f t="shared" si="17"/>
        <v>5000</v>
      </c>
      <c r="E277" s="465"/>
      <c r="F277" s="465"/>
      <c r="G277" s="465"/>
      <c r="H277" s="465"/>
      <c r="I277" s="465"/>
      <c r="J277" s="465"/>
      <c r="K277" s="465"/>
      <c r="L277" s="465"/>
      <c r="M277" s="465"/>
      <c r="N277" s="465"/>
      <c r="O277" s="465"/>
      <c r="P277" s="466"/>
      <c r="Q277" s="7"/>
    </row>
    <row r="278" spans="1:17" ht="13.5" thickBot="1" x14ac:dyDescent="0.25">
      <c r="A278" s="6"/>
      <c r="C278" s="279" t="s">
        <v>447</v>
      </c>
      <c r="D278" s="129">
        <f>SUM(D252:D277)</f>
        <v>301250</v>
      </c>
      <c r="E278" s="140">
        <f t="shared" ref="E278:P278" si="18">($D253*(E253/100))+($D254*(E254/100))+($D255*(E255/100))+($D256*(E256/100))+($D257*(E257/100))+($D258*(E258/100))+($D259*(E259/100))+($D260*(E260/100))+($D261*(E261/100))+($D262*(E262/100))+($D263*(E263/100))+($D264*(E264/100))+($D265*(E265/100))+($D266*(E266/100))+($D267*(E267/100))+($D268*(E268/100))+($D269*(E269/100))+($D270*(E270/100))+($D271*(E271/100))+($D272*(E272/100))+($D273*(E273/100))+($D274*(E274/100))+($D275*(E275/100))+($D276*(E276/100))+($D277*(E277/100))</f>
        <v>0</v>
      </c>
      <c r="F278" s="140">
        <f t="shared" si="18"/>
        <v>0</v>
      </c>
      <c r="G278" s="140">
        <f t="shared" si="18"/>
        <v>0</v>
      </c>
      <c r="H278" s="140">
        <f t="shared" si="18"/>
        <v>0</v>
      </c>
      <c r="I278" s="140">
        <f t="shared" si="18"/>
        <v>0</v>
      </c>
      <c r="J278" s="140">
        <f t="shared" si="18"/>
        <v>0</v>
      </c>
      <c r="K278" s="140">
        <f t="shared" si="18"/>
        <v>0</v>
      </c>
      <c r="L278" s="140">
        <f t="shared" si="18"/>
        <v>0</v>
      </c>
      <c r="M278" s="140">
        <f t="shared" si="18"/>
        <v>0</v>
      </c>
      <c r="N278" s="140">
        <f t="shared" si="18"/>
        <v>0</v>
      </c>
      <c r="O278" s="140">
        <f t="shared" si="18"/>
        <v>0</v>
      </c>
      <c r="P278" s="17">
        <f t="shared" si="18"/>
        <v>0</v>
      </c>
      <c r="Q278" s="7"/>
    </row>
    <row r="279" spans="1:17" ht="13.5" thickBot="1" x14ac:dyDescent="0.25">
      <c r="A279" s="26"/>
      <c r="B279" s="27"/>
      <c r="C279" s="27"/>
      <c r="D279" s="118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8"/>
    </row>
    <row r="280" spans="1:17" ht="13.5" thickBot="1" x14ac:dyDescent="0.25">
      <c r="A280" s="21"/>
      <c r="B280" s="285" t="s">
        <v>386</v>
      </c>
      <c r="C280" s="285"/>
      <c r="D280" s="331"/>
      <c r="E280" s="285"/>
      <c r="F280" s="285"/>
      <c r="G280" s="285"/>
      <c r="H280" s="285"/>
      <c r="I280" s="285"/>
      <c r="J280" s="285"/>
      <c r="K280" s="285"/>
      <c r="L280" s="285"/>
      <c r="M280" s="285"/>
      <c r="N280" s="285"/>
      <c r="O280" s="287" t="s">
        <v>459</v>
      </c>
      <c r="P280" s="285"/>
      <c r="Q280" s="23"/>
    </row>
    <row r="281" spans="1:17" x14ac:dyDescent="0.2">
      <c r="A281" s="6"/>
      <c r="C281" s="186" t="s">
        <v>234</v>
      </c>
      <c r="D281" s="332" t="s">
        <v>41</v>
      </c>
      <c r="E281" s="508" t="s">
        <v>400</v>
      </c>
      <c r="F281" s="509"/>
      <c r="G281" s="509"/>
      <c r="H281" s="509"/>
      <c r="I281" s="509"/>
      <c r="J281" s="509"/>
      <c r="K281" s="509"/>
      <c r="L281" s="509"/>
      <c r="M281" s="509"/>
      <c r="N281" s="509"/>
      <c r="O281" s="509"/>
      <c r="P281" s="510"/>
      <c r="Q281" s="7"/>
    </row>
    <row r="282" spans="1:17" ht="13.5" thickBot="1" x14ac:dyDescent="0.25">
      <c r="A282" s="6"/>
      <c r="C282" s="190"/>
      <c r="D282" s="333"/>
      <c r="E282" s="361" t="s">
        <v>388</v>
      </c>
      <c r="F282" s="136" t="s">
        <v>389</v>
      </c>
      <c r="G282" s="136" t="s">
        <v>390</v>
      </c>
      <c r="H282" s="136" t="s">
        <v>391</v>
      </c>
      <c r="I282" s="136" t="s">
        <v>392</v>
      </c>
      <c r="J282" s="136" t="s">
        <v>393</v>
      </c>
      <c r="K282" s="136" t="s">
        <v>394</v>
      </c>
      <c r="L282" s="136" t="s">
        <v>395</v>
      </c>
      <c r="M282" s="136" t="s">
        <v>396</v>
      </c>
      <c r="N282" s="136" t="s">
        <v>397</v>
      </c>
      <c r="O282" s="136" t="s">
        <v>398</v>
      </c>
      <c r="P282" s="362" t="s">
        <v>399</v>
      </c>
      <c r="Q282" s="7"/>
    </row>
    <row r="283" spans="1:17" x14ac:dyDescent="0.2">
      <c r="A283" s="6"/>
      <c r="C283" s="485" t="s">
        <v>448</v>
      </c>
      <c r="D283" s="334"/>
      <c r="E283" s="273"/>
      <c r="F283" s="273"/>
      <c r="G283" s="273"/>
      <c r="H283" s="273"/>
      <c r="I283" s="273"/>
      <c r="J283" s="273"/>
      <c r="K283" s="273"/>
      <c r="L283" s="273"/>
      <c r="M283" s="273"/>
      <c r="N283" s="273"/>
      <c r="O283" s="273"/>
      <c r="P283" s="109"/>
      <c r="Q283" s="7"/>
    </row>
    <row r="284" spans="1:17" x14ac:dyDescent="0.2">
      <c r="A284" s="6"/>
      <c r="C284" s="147" t="s">
        <v>158</v>
      </c>
      <c r="D284" s="468">
        <f>(D67)</f>
        <v>0</v>
      </c>
      <c r="E284" s="463"/>
      <c r="F284" s="463"/>
      <c r="G284" s="463"/>
      <c r="H284" s="463"/>
      <c r="I284" s="463"/>
      <c r="J284" s="463"/>
      <c r="K284" s="463"/>
      <c r="L284" s="463"/>
      <c r="M284" s="463"/>
      <c r="N284" s="463"/>
      <c r="O284" s="463"/>
      <c r="P284" s="464"/>
      <c r="Q284" s="7"/>
    </row>
    <row r="285" spans="1:17" x14ac:dyDescent="0.2">
      <c r="A285" s="6"/>
      <c r="C285" s="147" t="s">
        <v>165</v>
      </c>
      <c r="D285" s="468">
        <f t="shared" ref="D285:D308" si="19">(D68)</f>
        <v>0</v>
      </c>
      <c r="E285" s="463"/>
      <c r="F285" s="463"/>
      <c r="G285" s="463"/>
      <c r="H285" s="463"/>
      <c r="I285" s="463"/>
      <c r="J285" s="463"/>
      <c r="K285" s="463"/>
      <c r="L285" s="463"/>
      <c r="M285" s="463"/>
      <c r="N285" s="463"/>
      <c r="O285" s="463"/>
      <c r="P285" s="464"/>
      <c r="Q285" s="7"/>
    </row>
    <row r="286" spans="1:17" x14ac:dyDescent="0.2">
      <c r="A286" s="6"/>
      <c r="C286" s="147" t="s">
        <v>167</v>
      </c>
      <c r="D286" s="468">
        <f t="shared" si="19"/>
        <v>13200</v>
      </c>
      <c r="E286" s="463"/>
      <c r="F286" s="463"/>
      <c r="G286" s="463"/>
      <c r="H286" s="463"/>
      <c r="I286" s="463"/>
      <c r="J286" s="463"/>
      <c r="K286" s="463"/>
      <c r="L286" s="463"/>
      <c r="M286" s="463"/>
      <c r="N286" s="463"/>
      <c r="O286" s="463"/>
      <c r="P286" s="464"/>
      <c r="Q286" s="7"/>
    </row>
    <row r="287" spans="1:17" x14ac:dyDescent="0.2">
      <c r="A287" s="6"/>
      <c r="C287" s="147" t="s">
        <v>168</v>
      </c>
      <c r="D287" s="468">
        <f t="shared" si="19"/>
        <v>0</v>
      </c>
      <c r="E287" s="463"/>
      <c r="F287" s="463"/>
      <c r="G287" s="463"/>
      <c r="H287" s="463"/>
      <c r="I287" s="463"/>
      <c r="J287" s="463"/>
      <c r="K287" s="463"/>
      <c r="L287" s="463"/>
      <c r="M287" s="463"/>
      <c r="N287" s="463"/>
      <c r="O287" s="463"/>
      <c r="P287" s="464"/>
      <c r="Q287" s="7"/>
    </row>
    <row r="288" spans="1:17" x14ac:dyDescent="0.2">
      <c r="A288" s="6"/>
      <c r="C288" s="147" t="s">
        <v>170</v>
      </c>
      <c r="D288" s="468">
        <f t="shared" si="19"/>
        <v>144000</v>
      </c>
      <c r="E288" s="463"/>
      <c r="F288" s="463"/>
      <c r="G288" s="463"/>
      <c r="H288" s="463"/>
      <c r="I288" s="463"/>
      <c r="J288" s="463"/>
      <c r="K288" s="463"/>
      <c r="L288" s="463"/>
      <c r="M288" s="463"/>
      <c r="N288" s="463"/>
      <c r="O288" s="463"/>
      <c r="P288" s="464"/>
      <c r="Q288" s="7"/>
    </row>
    <row r="289" spans="1:17" x14ac:dyDescent="0.2">
      <c r="A289" s="6"/>
      <c r="C289" s="147" t="s">
        <v>171</v>
      </c>
      <c r="D289" s="468">
        <f t="shared" si="19"/>
        <v>40000</v>
      </c>
      <c r="E289" s="463"/>
      <c r="F289" s="463"/>
      <c r="G289" s="463"/>
      <c r="H289" s="463"/>
      <c r="I289" s="463"/>
      <c r="J289" s="463"/>
      <c r="K289" s="463"/>
      <c r="L289" s="463"/>
      <c r="M289" s="463"/>
      <c r="N289" s="463"/>
      <c r="O289" s="463"/>
      <c r="P289" s="464"/>
      <c r="Q289" s="7"/>
    </row>
    <row r="290" spans="1:17" x14ac:dyDescent="0.2">
      <c r="A290" s="6"/>
      <c r="C290" s="147" t="s">
        <v>378</v>
      </c>
      <c r="D290" s="468">
        <f t="shared" si="19"/>
        <v>0</v>
      </c>
      <c r="E290" s="463"/>
      <c r="F290" s="463"/>
      <c r="G290" s="463"/>
      <c r="H290" s="463"/>
      <c r="I290" s="463"/>
      <c r="J290" s="463"/>
      <c r="K290" s="463"/>
      <c r="L290" s="463"/>
      <c r="M290" s="463"/>
      <c r="N290" s="463"/>
      <c r="O290" s="463"/>
      <c r="P290" s="464"/>
      <c r="Q290" s="7"/>
    </row>
    <row r="291" spans="1:17" x14ac:dyDescent="0.2">
      <c r="A291" s="6"/>
      <c r="C291" s="147" t="s">
        <v>175</v>
      </c>
      <c r="D291" s="468">
        <f t="shared" si="19"/>
        <v>7500</v>
      </c>
      <c r="E291" s="463"/>
      <c r="F291" s="463"/>
      <c r="G291" s="463"/>
      <c r="H291" s="463"/>
      <c r="I291" s="463"/>
      <c r="J291" s="463"/>
      <c r="K291" s="463"/>
      <c r="L291" s="463"/>
      <c r="M291" s="463"/>
      <c r="N291" s="463"/>
      <c r="O291" s="463"/>
      <c r="P291" s="464"/>
      <c r="Q291" s="7"/>
    </row>
    <row r="292" spans="1:17" x14ac:dyDescent="0.2">
      <c r="A292" s="6"/>
      <c r="C292" s="147" t="s">
        <v>379</v>
      </c>
      <c r="D292" s="468">
        <f t="shared" si="19"/>
        <v>500</v>
      </c>
      <c r="E292" s="463"/>
      <c r="F292" s="463"/>
      <c r="G292" s="463"/>
      <c r="H292" s="463"/>
      <c r="I292" s="463"/>
      <c r="J292" s="463"/>
      <c r="K292" s="463"/>
      <c r="L292" s="463"/>
      <c r="M292" s="463"/>
      <c r="N292" s="463"/>
      <c r="O292" s="463"/>
      <c r="P292" s="464"/>
      <c r="Q292" s="7"/>
    </row>
    <row r="293" spans="1:17" x14ac:dyDescent="0.2">
      <c r="A293" s="6"/>
      <c r="C293" s="147" t="s">
        <v>380</v>
      </c>
      <c r="D293" s="468">
        <f t="shared" si="19"/>
        <v>100</v>
      </c>
      <c r="E293" s="463"/>
      <c r="F293" s="463"/>
      <c r="G293" s="463"/>
      <c r="H293" s="463"/>
      <c r="I293" s="463"/>
      <c r="J293" s="463"/>
      <c r="K293" s="463"/>
      <c r="L293" s="463"/>
      <c r="M293" s="463"/>
      <c r="N293" s="463"/>
      <c r="O293" s="463"/>
      <c r="P293" s="464"/>
      <c r="Q293" s="7"/>
    </row>
    <row r="294" spans="1:17" x14ac:dyDescent="0.2">
      <c r="A294" s="6"/>
      <c r="C294" s="147" t="s">
        <v>381</v>
      </c>
      <c r="D294" s="468">
        <f t="shared" si="19"/>
        <v>7200</v>
      </c>
      <c r="E294" s="463"/>
      <c r="F294" s="463"/>
      <c r="G294" s="463"/>
      <c r="H294" s="463"/>
      <c r="I294" s="463"/>
      <c r="J294" s="463"/>
      <c r="K294" s="463"/>
      <c r="L294" s="463"/>
      <c r="M294" s="463"/>
      <c r="N294" s="463"/>
      <c r="O294" s="463"/>
      <c r="P294" s="464"/>
      <c r="Q294" s="7"/>
    </row>
    <row r="295" spans="1:17" x14ac:dyDescent="0.2">
      <c r="A295" s="6"/>
      <c r="C295" s="147" t="s">
        <v>382</v>
      </c>
      <c r="D295" s="468">
        <f t="shared" si="19"/>
        <v>7200</v>
      </c>
      <c r="E295" s="463"/>
      <c r="F295" s="463"/>
      <c r="G295" s="463"/>
      <c r="H295" s="463"/>
      <c r="I295" s="463"/>
      <c r="J295" s="463"/>
      <c r="K295" s="463"/>
      <c r="L295" s="463"/>
      <c r="M295" s="463"/>
      <c r="N295" s="463"/>
      <c r="O295" s="463"/>
      <c r="P295" s="464"/>
      <c r="Q295" s="7"/>
    </row>
    <row r="296" spans="1:17" x14ac:dyDescent="0.2">
      <c r="A296" s="6"/>
      <c r="C296" s="147" t="s">
        <v>196</v>
      </c>
      <c r="D296" s="468">
        <f t="shared" si="19"/>
        <v>0</v>
      </c>
      <c r="E296" s="463"/>
      <c r="F296" s="463"/>
      <c r="G296" s="463"/>
      <c r="H296" s="463"/>
      <c r="I296" s="463"/>
      <c r="J296" s="463"/>
      <c r="K296" s="463"/>
      <c r="L296" s="463"/>
      <c r="M296" s="463"/>
      <c r="N296" s="463"/>
      <c r="O296" s="463"/>
      <c r="P296" s="464"/>
      <c r="Q296" s="7"/>
    </row>
    <row r="297" spans="1:17" x14ac:dyDescent="0.2">
      <c r="A297" s="6"/>
      <c r="C297" s="147" t="s">
        <v>260</v>
      </c>
      <c r="D297" s="468">
        <f t="shared" si="19"/>
        <v>0</v>
      </c>
      <c r="E297" s="463"/>
      <c r="F297" s="463"/>
      <c r="G297" s="463"/>
      <c r="H297" s="463"/>
      <c r="I297" s="463"/>
      <c r="J297" s="463"/>
      <c r="K297" s="463"/>
      <c r="L297" s="463"/>
      <c r="M297" s="463"/>
      <c r="N297" s="463"/>
      <c r="O297" s="463"/>
      <c r="P297" s="464"/>
      <c r="Q297" s="7"/>
    </row>
    <row r="298" spans="1:17" x14ac:dyDescent="0.2">
      <c r="A298" s="6"/>
      <c r="C298" s="147" t="s">
        <v>261</v>
      </c>
      <c r="D298" s="468">
        <f t="shared" si="19"/>
        <v>4800</v>
      </c>
      <c r="E298" s="463"/>
      <c r="F298" s="463"/>
      <c r="G298" s="463"/>
      <c r="H298" s="463"/>
      <c r="I298" s="463"/>
      <c r="J298" s="463"/>
      <c r="K298" s="463"/>
      <c r="L298" s="463"/>
      <c r="M298" s="463"/>
      <c r="N298" s="463"/>
      <c r="O298" s="463"/>
      <c r="P298" s="464"/>
      <c r="Q298" s="7"/>
    </row>
    <row r="299" spans="1:17" x14ac:dyDescent="0.2">
      <c r="A299" s="6"/>
      <c r="C299" s="147" t="s">
        <v>44</v>
      </c>
      <c r="D299" s="468">
        <f t="shared" si="19"/>
        <v>6750</v>
      </c>
      <c r="E299" s="463"/>
      <c r="F299" s="463"/>
      <c r="G299" s="463"/>
      <c r="H299" s="463"/>
      <c r="I299" s="463"/>
      <c r="J299" s="463"/>
      <c r="K299" s="463"/>
      <c r="L299" s="463"/>
      <c r="M299" s="463"/>
      <c r="N299" s="463"/>
      <c r="O299" s="463"/>
      <c r="P299" s="464"/>
      <c r="Q299" s="7"/>
    </row>
    <row r="300" spans="1:17" x14ac:dyDescent="0.2">
      <c r="A300" s="6"/>
      <c r="C300" s="147" t="s">
        <v>182</v>
      </c>
      <c r="D300" s="468">
        <f t="shared" si="19"/>
        <v>5000</v>
      </c>
      <c r="E300" s="463"/>
      <c r="F300" s="463"/>
      <c r="G300" s="463"/>
      <c r="H300" s="463"/>
      <c r="I300" s="463"/>
      <c r="J300" s="463"/>
      <c r="K300" s="463"/>
      <c r="L300" s="463"/>
      <c r="M300" s="463"/>
      <c r="N300" s="463"/>
      <c r="O300" s="463"/>
      <c r="P300" s="464"/>
      <c r="Q300" s="7"/>
    </row>
    <row r="301" spans="1:17" x14ac:dyDescent="0.2">
      <c r="A301" s="6"/>
      <c r="C301" s="147" t="s">
        <v>183</v>
      </c>
      <c r="D301" s="468">
        <f t="shared" si="19"/>
        <v>0</v>
      </c>
      <c r="E301" s="463"/>
      <c r="F301" s="463"/>
      <c r="G301" s="463"/>
      <c r="H301" s="463"/>
      <c r="I301" s="463"/>
      <c r="J301" s="463"/>
      <c r="K301" s="463"/>
      <c r="L301" s="463"/>
      <c r="M301" s="463"/>
      <c r="N301" s="463"/>
      <c r="O301" s="463"/>
      <c r="P301" s="464"/>
      <c r="Q301" s="7"/>
    </row>
    <row r="302" spans="1:17" x14ac:dyDescent="0.2">
      <c r="A302" s="6"/>
      <c r="C302" s="147" t="s">
        <v>200</v>
      </c>
      <c r="D302" s="468">
        <f t="shared" si="19"/>
        <v>20000</v>
      </c>
      <c r="E302" s="463"/>
      <c r="F302" s="463"/>
      <c r="G302" s="463"/>
      <c r="H302" s="463"/>
      <c r="I302" s="463"/>
      <c r="J302" s="463"/>
      <c r="K302" s="463"/>
      <c r="L302" s="463"/>
      <c r="M302" s="463"/>
      <c r="N302" s="463"/>
      <c r="O302" s="463"/>
      <c r="P302" s="464"/>
      <c r="Q302" s="7"/>
    </row>
    <row r="303" spans="1:17" x14ac:dyDescent="0.2">
      <c r="A303" s="6"/>
      <c r="C303" s="147" t="s">
        <v>201</v>
      </c>
      <c r="D303" s="468">
        <f t="shared" si="19"/>
        <v>15000</v>
      </c>
      <c r="E303" s="463"/>
      <c r="F303" s="463"/>
      <c r="G303" s="463"/>
      <c r="H303" s="463"/>
      <c r="I303" s="463"/>
      <c r="J303" s="463"/>
      <c r="K303" s="463"/>
      <c r="L303" s="463"/>
      <c r="M303" s="463"/>
      <c r="N303" s="463"/>
      <c r="O303" s="463"/>
      <c r="P303" s="464"/>
      <c r="Q303" s="7"/>
    </row>
    <row r="304" spans="1:17" x14ac:dyDescent="0.2">
      <c r="A304" s="6"/>
      <c r="C304" s="147" t="s">
        <v>195</v>
      </c>
      <c r="D304" s="468">
        <f t="shared" si="19"/>
        <v>0</v>
      </c>
      <c r="E304" s="463"/>
      <c r="F304" s="463"/>
      <c r="G304" s="463"/>
      <c r="H304" s="463"/>
      <c r="I304" s="463"/>
      <c r="J304" s="463"/>
      <c r="K304" s="463"/>
      <c r="L304" s="463"/>
      <c r="M304" s="463"/>
      <c r="N304" s="463"/>
      <c r="O304" s="463"/>
      <c r="P304" s="464"/>
      <c r="Q304" s="7"/>
    </row>
    <row r="305" spans="1:17" x14ac:dyDescent="0.2">
      <c r="A305" s="6"/>
      <c r="C305" s="147" t="s">
        <v>413</v>
      </c>
      <c r="D305" s="468">
        <f t="shared" si="19"/>
        <v>25000</v>
      </c>
      <c r="E305" s="463"/>
      <c r="F305" s="463"/>
      <c r="G305" s="463"/>
      <c r="H305" s="463"/>
      <c r="I305" s="463"/>
      <c r="J305" s="463"/>
      <c r="K305" s="463"/>
      <c r="L305" s="463"/>
      <c r="M305" s="463"/>
      <c r="N305" s="463"/>
      <c r="O305" s="463"/>
      <c r="P305" s="464"/>
      <c r="Q305" s="7"/>
    </row>
    <row r="306" spans="1:17" x14ac:dyDescent="0.2">
      <c r="A306" s="6"/>
      <c r="C306" s="147" t="s">
        <v>414</v>
      </c>
      <c r="D306" s="468">
        <f t="shared" si="19"/>
        <v>0</v>
      </c>
      <c r="E306" s="463"/>
      <c r="F306" s="463"/>
      <c r="G306" s="463"/>
      <c r="H306" s="463"/>
      <c r="I306" s="463"/>
      <c r="J306" s="463"/>
      <c r="K306" s="463"/>
      <c r="L306" s="463"/>
      <c r="M306" s="463"/>
      <c r="N306" s="463"/>
      <c r="O306" s="463"/>
      <c r="P306" s="464"/>
      <c r="Q306" s="7"/>
    </row>
    <row r="307" spans="1:17" x14ac:dyDescent="0.2">
      <c r="A307" s="6"/>
      <c r="C307" s="147" t="s">
        <v>429</v>
      </c>
      <c r="D307" s="468">
        <f t="shared" si="19"/>
        <v>0</v>
      </c>
      <c r="E307" s="463"/>
      <c r="F307" s="463"/>
      <c r="G307" s="463"/>
      <c r="H307" s="463"/>
      <c r="I307" s="463"/>
      <c r="J307" s="463"/>
      <c r="K307" s="463"/>
      <c r="L307" s="463"/>
      <c r="M307" s="463"/>
      <c r="N307" s="463"/>
      <c r="O307" s="463"/>
      <c r="P307" s="464"/>
      <c r="Q307" s="7"/>
    </row>
    <row r="308" spans="1:17" ht="13.5" thickBot="1" x14ac:dyDescent="0.25">
      <c r="A308" s="6"/>
      <c r="C308" s="9" t="s">
        <v>428</v>
      </c>
      <c r="D308" s="468">
        <f t="shared" si="19"/>
        <v>5000</v>
      </c>
      <c r="E308" s="465"/>
      <c r="F308" s="465"/>
      <c r="G308" s="465"/>
      <c r="H308" s="465"/>
      <c r="I308" s="465"/>
      <c r="J308" s="465"/>
      <c r="K308" s="465"/>
      <c r="L308" s="465"/>
      <c r="M308" s="465"/>
      <c r="N308" s="465"/>
      <c r="O308" s="465"/>
      <c r="P308" s="466"/>
      <c r="Q308" s="7"/>
    </row>
    <row r="309" spans="1:17" ht="13.5" thickBot="1" x14ac:dyDescent="0.25">
      <c r="A309" s="6"/>
      <c r="C309" s="279" t="s">
        <v>449</v>
      </c>
      <c r="D309" s="129">
        <f>SUM(D283:D308)</f>
        <v>301250</v>
      </c>
      <c r="E309" s="140">
        <f t="shared" ref="E309:P309" si="20">($D284*(E284/100))+($D285*(E285/100))+($D286*(E286/100))+($D287*(E287/100))+($D288*(E288/100))+($D289*(E289/100))+($D290*(E290/100))+($D291*(E291/100))+($D292*(E292/100))+($D293*(E293/100))+($D294*(E294/100))+($D295*(E295/100))+($D296*(E296/100))+($D297*(E297/100))+($D298*(E298/100))+($D299*(E299/100))+($D300*(E300/100))+($D301*(E301/100))+($D302*(E302/100))+($D303*(E303/100))+($D304*(E304/100))+($D305*(E305/100))+($D306*(E306/100))+($D307*(E307/100))+($D308*(E308/100))</f>
        <v>0</v>
      </c>
      <c r="F309" s="140">
        <f t="shared" si="20"/>
        <v>0</v>
      </c>
      <c r="G309" s="140">
        <f t="shared" si="20"/>
        <v>0</v>
      </c>
      <c r="H309" s="140">
        <f t="shared" si="20"/>
        <v>0</v>
      </c>
      <c r="I309" s="140">
        <f t="shared" si="20"/>
        <v>0</v>
      </c>
      <c r="J309" s="140">
        <f t="shared" si="20"/>
        <v>0</v>
      </c>
      <c r="K309" s="140">
        <f t="shared" si="20"/>
        <v>0</v>
      </c>
      <c r="L309" s="140">
        <f t="shared" si="20"/>
        <v>0</v>
      </c>
      <c r="M309" s="140">
        <f t="shared" si="20"/>
        <v>0</v>
      </c>
      <c r="N309" s="140">
        <f t="shared" si="20"/>
        <v>0</v>
      </c>
      <c r="O309" s="140">
        <f t="shared" si="20"/>
        <v>0</v>
      </c>
      <c r="P309" s="17">
        <f t="shared" si="20"/>
        <v>0</v>
      </c>
      <c r="Q309" s="7"/>
    </row>
    <row r="310" spans="1:17" ht="13.5" thickBot="1" x14ac:dyDescent="0.25">
      <c r="A310" s="26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8"/>
    </row>
  </sheetData>
  <mergeCells count="10">
    <mergeCell ref="E219:P219"/>
    <mergeCell ref="E250:P250"/>
    <mergeCell ref="E281:P281"/>
    <mergeCell ref="E27:P27"/>
    <mergeCell ref="E45:P45"/>
    <mergeCell ref="E64:P64"/>
    <mergeCell ref="E95:P95"/>
    <mergeCell ref="E126:P126"/>
    <mergeCell ref="E157:P157"/>
    <mergeCell ref="E188:P188"/>
  </mergeCells>
  <phoneticPr fontId="0" type="noConversion"/>
  <conditionalFormatting sqref="D11:D18">
    <cfRule type="cellIs" dxfId="1" priority="1" operator="lessThan">
      <formula>100</formula>
    </cfRule>
    <cfRule type="cellIs" dxfId="0" priority="2" operator="greaterThan">
      <formula>100</formula>
    </cfRule>
  </conditionalFormatting>
  <pageMargins left="0.75" right="0.75" top="1" bottom="1" header="0.5" footer="0.5"/>
  <pageSetup paperSize="9" scale="1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70"/>
  <sheetViews>
    <sheetView workbookViewId="0">
      <selection activeCell="F15" sqref="F15"/>
    </sheetView>
  </sheetViews>
  <sheetFormatPr defaultRowHeight="12.75" x14ac:dyDescent="0.2"/>
  <cols>
    <col min="1" max="1" width="0.85546875" customWidth="1"/>
    <col min="2" max="2" width="1.7109375" customWidth="1"/>
    <col min="3" max="3" width="50" customWidth="1"/>
    <col min="4" max="15" width="13.7109375" customWidth="1"/>
    <col min="16" max="16" width="15.28515625" customWidth="1"/>
    <col min="17" max="17" width="2.85546875" customWidth="1"/>
  </cols>
  <sheetData>
    <row r="1" spans="1:17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x14ac:dyDescent="0.2">
      <c r="A2" s="6"/>
      <c r="B2" s="24" t="s">
        <v>460</v>
      </c>
      <c r="C2" s="2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 t="s">
        <v>477</v>
      </c>
      <c r="Q2" s="7"/>
    </row>
    <row r="3" spans="1:17" ht="13.5" thickBot="1" x14ac:dyDescent="0.25">
      <c r="A3" s="6"/>
      <c r="Q3" s="7"/>
    </row>
    <row r="4" spans="1:17" ht="13.5" thickBot="1" x14ac:dyDescent="0.25">
      <c r="A4" s="6"/>
      <c r="C4" s="43" t="s">
        <v>461</v>
      </c>
      <c r="Q4" s="7"/>
    </row>
    <row r="5" spans="1:17" x14ac:dyDescent="0.2">
      <c r="A5" s="6"/>
      <c r="Q5" s="7"/>
    </row>
    <row r="6" spans="1:17" x14ac:dyDescent="0.2">
      <c r="A6" s="6"/>
      <c r="C6" s="88" t="s">
        <v>473</v>
      </c>
      <c r="D6" s="363">
        <v>3000000</v>
      </c>
      <c r="Q6" s="7"/>
    </row>
    <row r="7" spans="1:17" x14ac:dyDescent="0.2">
      <c r="A7" s="6"/>
      <c r="C7" s="88" t="s">
        <v>479</v>
      </c>
      <c r="D7">
        <v>15</v>
      </c>
      <c r="E7" s="348" t="s">
        <v>537</v>
      </c>
      <c r="Q7" s="7"/>
    </row>
    <row r="8" spans="1:17" x14ac:dyDescent="0.2">
      <c r="A8" s="6"/>
      <c r="C8" s="88" t="s">
        <v>485</v>
      </c>
      <c r="D8">
        <v>3</v>
      </c>
      <c r="Q8" s="7"/>
    </row>
    <row r="9" spans="1:17" x14ac:dyDescent="0.2">
      <c r="A9" s="6"/>
      <c r="C9" s="88" t="s">
        <v>476</v>
      </c>
      <c r="D9">
        <v>0</v>
      </c>
      <c r="Q9" s="7"/>
    </row>
    <row r="10" spans="1:17" x14ac:dyDescent="0.2">
      <c r="A10" s="6"/>
      <c r="C10" s="88"/>
      <c r="Q10" s="7"/>
    </row>
    <row r="11" spans="1:17" ht="13.5" thickBot="1" x14ac:dyDescent="0.25">
      <c r="A11" s="6"/>
      <c r="Q11" s="7"/>
    </row>
    <row r="12" spans="1:17" ht="13.5" thickBot="1" x14ac:dyDescent="0.25">
      <c r="A12" s="6"/>
      <c r="C12" s="258" t="s">
        <v>234</v>
      </c>
      <c r="D12" s="281" t="s">
        <v>388</v>
      </c>
      <c r="E12" s="281" t="s">
        <v>389</v>
      </c>
      <c r="F12" s="281" t="s">
        <v>390</v>
      </c>
      <c r="G12" s="281" t="s">
        <v>391</v>
      </c>
      <c r="H12" s="281" t="s">
        <v>392</v>
      </c>
      <c r="I12" s="281" t="s">
        <v>393</v>
      </c>
      <c r="J12" s="281" t="s">
        <v>394</v>
      </c>
      <c r="K12" s="281" t="s">
        <v>395</v>
      </c>
      <c r="L12" s="281" t="s">
        <v>396</v>
      </c>
      <c r="M12" s="281" t="s">
        <v>397</v>
      </c>
      <c r="N12" s="281" t="s">
        <v>398</v>
      </c>
      <c r="O12" s="293" t="s">
        <v>399</v>
      </c>
      <c r="P12" s="294" t="s">
        <v>78</v>
      </c>
      <c r="Q12" s="7"/>
    </row>
    <row r="13" spans="1:17" x14ac:dyDescent="0.2">
      <c r="A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22"/>
      <c r="Q13" s="7"/>
    </row>
    <row r="14" spans="1:17" x14ac:dyDescent="0.2">
      <c r="A14" s="6"/>
      <c r="C14" s="295" t="s">
        <v>462</v>
      </c>
      <c r="D14" s="1">
        <f>(D15*D16)</f>
        <v>120600</v>
      </c>
      <c r="E14" s="1">
        <f>(E15*E16)</f>
        <v>100500</v>
      </c>
      <c r="F14" s="1">
        <f>(F15*F16)</f>
        <v>100500</v>
      </c>
      <c r="G14" s="1">
        <f t="shared" ref="G14:O14" si="0">(G15*G16)</f>
        <v>100500</v>
      </c>
      <c r="H14" s="1">
        <f t="shared" si="0"/>
        <v>301500</v>
      </c>
      <c r="I14" s="1">
        <f t="shared" si="0"/>
        <v>301500</v>
      </c>
      <c r="J14" s="1">
        <f t="shared" si="0"/>
        <v>301500</v>
      </c>
      <c r="K14" s="1">
        <f t="shared" si="0"/>
        <v>301500</v>
      </c>
      <c r="L14" s="1">
        <f t="shared" si="0"/>
        <v>100500</v>
      </c>
      <c r="M14" s="1">
        <f t="shared" si="0"/>
        <v>100500</v>
      </c>
      <c r="N14" s="1">
        <f t="shared" si="0"/>
        <v>100500</v>
      </c>
      <c r="O14" s="1">
        <f t="shared" si="0"/>
        <v>100500</v>
      </c>
      <c r="P14" s="312">
        <f>SUM(D14:O14)</f>
        <v>2030100</v>
      </c>
      <c r="Q14" s="7"/>
    </row>
    <row r="15" spans="1:17" x14ac:dyDescent="0.2">
      <c r="A15" s="6"/>
      <c r="C15" s="308" t="s">
        <v>463</v>
      </c>
      <c r="D15" s="300">
        <f>(Projections!E19)</f>
        <v>40200</v>
      </c>
      <c r="E15" s="300">
        <f>(Projections!F19)</f>
        <v>33500</v>
      </c>
      <c r="F15" s="300">
        <f>(Projections!G19)</f>
        <v>33500</v>
      </c>
      <c r="G15" s="300">
        <f>(Projections!H19)</f>
        <v>33500</v>
      </c>
      <c r="H15" s="300">
        <f>(Projections!I19)</f>
        <v>100500</v>
      </c>
      <c r="I15" s="300">
        <f>(Projections!J19)</f>
        <v>100500</v>
      </c>
      <c r="J15" s="300">
        <f>(Projections!K19)</f>
        <v>100500</v>
      </c>
      <c r="K15" s="300">
        <f>(Projections!L19)</f>
        <v>100500</v>
      </c>
      <c r="L15" s="300">
        <f>(Projections!M19)</f>
        <v>33500</v>
      </c>
      <c r="M15" s="300">
        <f>(Projections!N19)</f>
        <v>33500</v>
      </c>
      <c r="N15" s="300">
        <f>(Projections!O19)</f>
        <v>33500</v>
      </c>
      <c r="O15" s="300">
        <f>(Projections!P19)</f>
        <v>33500</v>
      </c>
      <c r="P15" s="301">
        <f>SUM(D15:O15)</f>
        <v>676700</v>
      </c>
      <c r="Q15" s="7"/>
    </row>
    <row r="16" spans="1:17" x14ac:dyDescent="0.2">
      <c r="A16" s="6"/>
      <c r="C16" s="309" t="s">
        <v>464</v>
      </c>
      <c r="D16" s="61">
        <f>(Projections!$D$7)</f>
        <v>3</v>
      </c>
      <c r="E16" s="61">
        <f>(Projections!$D$7)</f>
        <v>3</v>
      </c>
      <c r="F16" s="61">
        <f>(Projections!$D$7)</f>
        <v>3</v>
      </c>
      <c r="G16" s="61">
        <f>(Projections!$D$7)</f>
        <v>3</v>
      </c>
      <c r="H16" s="61">
        <f>(Projections!$D$7)</f>
        <v>3</v>
      </c>
      <c r="I16" s="61">
        <f>(Projections!$D$7)</f>
        <v>3</v>
      </c>
      <c r="J16" s="61">
        <f>(Projections!$D$7)</f>
        <v>3</v>
      </c>
      <c r="K16" s="61">
        <f>(Projections!$D$7)</f>
        <v>3</v>
      </c>
      <c r="L16" s="61">
        <f>(Projections!$D$7)</f>
        <v>3</v>
      </c>
      <c r="M16" s="61">
        <f>(Projections!$D$7)</f>
        <v>3</v>
      </c>
      <c r="N16" s="61">
        <f>(Projections!$D$7)</f>
        <v>3</v>
      </c>
      <c r="O16" s="61">
        <f>(Projections!$D$7)</f>
        <v>3</v>
      </c>
      <c r="P16" s="291"/>
      <c r="Q16" s="7"/>
    </row>
    <row r="17" spans="1:17" x14ac:dyDescent="0.2">
      <c r="A17" s="6"/>
      <c r="C17" s="297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96"/>
      <c r="Q17" s="7"/>
    </row>
    <row r="18" spans="1:17" x14ac:dyDescent="0.2">
      <c r="A18" s="6"/>
      <c r="C18" s="1" t="s">
        <v>465</v>
      </c>
      <c r="P18" s="296"/>
      <c r="Q18" s="7"/>
    </row>
    <row r="19" spans="1:17" x14ac:dyDescent="0.2">
      <c r="A19" s="6"/>
      <c r="C19" s="298" t="s">
        <v>412</v>
      </c>
      <c r="D19" s="312">
        <f>SUM(D20:D35)</f>
        <v>-2322928</v>
      </c>
      <c r="E19" s="312">
        <f>SUM(E20:E35)</f>
        <v>0</v>
      </c>
      <c r="F19" s="312">
        <f>SUM(F20:F35)</f>
        <v>0</v>
      </c>
      <c r="G19" s="312">
        <f t="shared" ref="G19:O19" si="1">SUM(G20:G35)</f>
        <v>0</v>
      </c>
      <c r="H19" s="312">
        <f t="shared" si="1"/>
        <v>0</v>
      </c>
      <c r="I19" s="312">
        <f t="shared" si="1"/>
        <v>0</v>
      </c>
      <c r="J19" s="312">
        <f t="shared" si="1"/>
        <v>0</v>
      </c>
      <c r="K19" s="312">
        <f t="shared" si="1"/>
        <v>0</v>
      </c>
      <c r="L19" s="312">
        <f t="shared" si="1"/>
        <v>0</v>
      </c>
      <c r="M19" s="312">
        <f t="shared" si="1"/>
        <v>0</v>
      </c>
      <c r="N19" s="312">
        <f t="shared" si="1"/>
        <v>0</v>
      </c>
      <c r="O19" s="312">
        <f t="shared" si="1"/>
        <v>0</v>
      </c>
      <c r="P19" s="315">
        <f t="shared" ref="P19:P63" si="2">SUM(D19:O19)</f>
        <v>-2322928</v>
      </c>
      <c r="Q19" s="7"/>
    </row>
    <row r="20" spans="1:17" x14ac:dyDescent="0.2">
      <c r="A20" s="6"/>
      <c r="C20" s="304" t="s">
        <v>415</v>
      </c>
      <c r="D20" s="301">
        <f>(Projections!$D$30*(Projections!E30/100))*-1</f>
        <v>-1500000</v>
      </c>
      <c r="E20" s="301">
        <f>(Projections!$D$30*(Projections!F30/100))*-1</f>
        <v>0</v>
      </c>
      <c r="F20" s="301">
        <f>(Projections!$D$30*(Projections!G30/100))*-1</f>
        <v>0</v>
      </c>
      <c r="G20" s="301">
        <f>(Projections!$D$30*(Projections!H30/100))*-1</f>
        <v>0</v>
      </c>
      <c r="H20" s="301">
        <f>(Projections!$D$30*(Projections!I30/100))*-1</f>
        <v>0</v>
      </c>
      <c r="I20" s="301">
        <f>(Projections!$D$30*(Projections!J30/100))*-1</f>
        <v>0</v>
      </c>
      <c r="J20" s="301">
        <f>(Projections!$D$30*(Projections!K30/100))*-1</f>
        <v>0</v>
      </c>
      <c r="K20" s="301">
        <f>(Projections!$D$30*(Projections!L30/100))*-1</f>
        <v>0</v>
      </c>
      <c r="L20" s="301">
        <f>(Projections!$D$30*(Projections!M30/100))*-1</f>
        <v>0</v>
      </c>
      <c r="M20" s="301">
        <f>(Projections!$D$30*(Projections!N30/100))*-1</f>
        <v>0</v>
      </c>
      <c r="N20" s="301">
        <f>(Projections!$D$30*(Projections!O30/100))*-1</f>
        <v>0</v>
      </c>
      <c r="O20" s="301">
        <f>(Projections!$D$30*(Projections!P30/100))*-1</f>
        <v>0</v>
      </c>
      <c r="P20" s="290">
        <f t="shared" si="2"/>
        <v>-1500000</v>
      </c>
      <c r="Q20" s="7"/>
    </row>
    <row r="21" spans="1:17" x14ac:dyDescent="0.2">
      <c r="A21" s="6"/>
      <c r="C21" s="305" t="s">
        <v>416</v>
      </c>
      <c r="D21" s="290">
        <f>(Projections!$D$31*(Projections!E31/100))*-1</f>
        <v>-251528</v>
      </c>
      <c r="E21" s="290">
        <f>(Projections!$D$31*(Projections!F31/100))*-1</f>
        <v>0</v>
      </c>
      <c r="F21" s="290">
        <f>(Projections!$D$31*(Projections!G31/100))*-1</f>
        <v>0</v>
      </c>
      <c r="G21" s="290">
        <f>(Projections!$D$31*(Projections!H31/100))*-1</f>
        <v>0</v>
      </c>
      <c r="H21" s="290">
        <f>(Projections!$D$31*(Projections!I31/100))*-1</f>
        <v>0</v>
      </c>
      <c r="I21" s="290">
        <f>(Projections!$D$31*(Projections!J31/100))*-1</f>
        <v>0</v>
      </c>
      <c r="J21" s="290">
        <f>(Projections!$D$31*(Projections!K31/100))*-1</f>
        <v>0</v>
      </c>
      <c r="K21" s="290">
        <f>(Projections!$D$31*(Projections!L31/100))*-1</f>
        <v>0</v>
      </c>
      <c r="L21" s="290">
        <f>(Projections!$D$31*(Projections!M31/100))*-1</f>
        <v>0</v>
      </c>
      <c r="M21" s="290">
        <f>(Projections!$D$31*(Projections!N31/100))*-1</f>
        <v>0</v>
      </c>
      <c r="N21" s="290">
        <f>(Projections!$D$31*(Projections!O31/100))*-1</f>
        <v>0</v>
      </c>
      <c r="O21" s="290">
        <f>(Projections!$D$31*(Projections!P31/100))*-1</f>
        <v>0</v>
      </c>
      <c r="P21" s="290">
        <f t="shared" si="2"/>
        <v>-251528</v>
      </c>
      <c r="Q21" s="7"/>
    </row>
    <row r="22" spans="1:17" x14ac:dyDescent="0.2">
      <c r="A22" s="6"/>
      <c r="C22" s="305" t="s">
        <v>418</v>
      </c>
      <c r="D22" s="290">
        <f>(Projections!$D$32*(Projections!E32/100))*-1</f>
        <v>-381000</v>
      </c>
      <c r="E22" s="290">
        <f>(Projections!$D$32*(Projections!F32/100))*-1</f>
        <v>0</v>
      </c>
      <c r="F22" s="290">
        <f>(Projections!$D$32*(Projections!G32/100))*-1</f>
        <v>0</v>
      </c>
      <c r="G22" s="290">
        <f>(Projections!$D$32*(Projections!H32/100))*-1</f>
        <v>0</v>
      </c>
      <c r="H22" s="290">
        <f>(Projections!$D$32*(Projections!I32/100))*-1</f>
        <v>0</v>
      </c>
      <c r="I22" s="290">
        <f>(Projections!$D$32*(Projections!J32/100))*-1</f>
        <v>0</v>
      </c>
      <c r="J22" s="290">
        <f>(Projections!$D$32*(Projections!K32/100))*-1</f>
        <v>0</v>
      </c>
      <c r="K22" s="290">
        <f>(Projections!$D$32*(Projections!L32/100))*-1</f>
        <v>0</v>
      </c>
      <c r="L22" s="290">
        <f>(Projections!$D$32*(Projections!M32/100))*-1</f>
        <v>0</v>
      </c>
      <c r="M22" s="290">
        <f>(Projections!$D$32*(Projections!N32/100))*-1</f>
        <v>0</v>
      </c>
      <c r="N22" s="290">
        <f>(Projections!$D$32*(Projections!O32/100))*-1</f>
        <v>0</v>
      </c>
      <c r="O22" s="290">
        <f>(Projections!$D$32*(Projections!P32/100))*-1</f>
        <v>0</v>
      </c>
      <c r="P22" s="290">
        <f t="shared" si="2"/>
        <v>-381000</v>
      </c>
      <c r="Q22" s="7"/>
    </row>
    <row r="23" spans="1:17" x14ac:dyDescent="0.2">
      <c r="A23" s="6"/>
      <c r="C23" s="305" t="s">
        <v>417</v>
      </c>
      <c r="D23" s="290">
        <f>(Projections!$D$33*(Projections!E33/100))*-1</f>
        <v>0</v>
      </c>
      <c r="E23" s="290">
        <f>(Projections!$D$33*(Projections!F33/100))*-1</f>
        <v>0</v>
      </c>
      <c r="F23" s="290">
        <f>(Projections!$D$33*(Projections!G33/100))*-1</f>
        <v>0</v>
      </c>
      <c r="G23" s="290">
        <f>(Projections!$D$33*(Projections!H33/100))*-1</f>
        <v>0</v>
      </c>
      <c r="H23" s="290">
        <f>(Projections!$D$33*(Projections!I33/100))*-1</f>
        <v>0</v>
      </c>
      <c r="I23" s="290">
        <f>(Projections!$D$33*(Projections!J33/100))*-1</f>
        <v>0</v>
      </c>
      <c r="J23" s="290">
        <f>(Projections!$D$33*(Projections!K33/100))*-1</f>
        <v>0</v>
      </c>
      <c r="K23" s="290">
        <f>(Projections!$D$33*(Projections!L33/100))*-1</f>
        <v>0</v>
      </c>
      <c r="L23" s="290">
        <f>(Projections!$D$33*(Projections!M33/100))*-1</f>
        <v>0</v>
      </c>
      <c r="M23" s="290">
        <f>(Projections!$D$33*(Projections!N33/100))*-1</f>
        <v>0</v>
      </c>
      <c r="N23" s="290">
        <f>(Projections!$D$33*(Projections!O33/100))*-1</f>
        <v>0</v>
      </c>
      <c r="O23" s="290">
        <f>(Projections!$D$33*(Projections!P33/100))*-1</f>
        <v>0</v>
      </c>
      <c r="P23" s="290">
        <f t="shared" si="2"/>
        <v>0</v>
      </c>
      <c r="Q23" s="7"/>
    </row>
    <row r="24" spans="1:17" x14ac:dyDescent="0.2">
      <c r="A24" s="6"/>
      <c r="C24" s="305" t="s">
        <v>419</v>
      </c>
      <c r="D24" s="290">
        <f>(Projections!$D$34*(Projections!E34/100))*-1</f>
        <v>0</v>
      </c>
      <c r="E24" s="290">
        <f>(Projections!$D$34*(Projections!F34/100))*-1</f>
        <v>0</v>
      </c>
      <c r="F24" s="290">
        <f>(Projections!$D$34*(Projections!G34/100))*-1</f>
        <v>0</v>
      </c>
      <c r="G24" s="290">
        <f>(Projections!$D$34*(Projections!H34/100))*-1</f>
        <v>0</v>
      </c>
      <c r="H24" s="290">
        <f>(Projections!$D$34*(Projections!I34/100))*-1</f>
        <v>0</v>
      </c>
      <c r="I24" s="290">
        <f>(Projections!$D$34*(Projections!J34/100))*-1</f>
        <v>0</v>
      </c>
      <c r="J24" s="290">
        <f>(Projections!$D$34*(Projections!K34/100))*-1</f>
        <v>0</v>
      </c>
      <c r="K24" s="290">
        <f>(Projections!$D$34*(Projections!L34/100))*-1</f>
        <v>0</v>
      </c>
      <c r="L24" s="290">
        <f>(Projections!$D$34*(Projections!M34/100))*-1</f>
        <v>0</v>
      </c>
      <c r="M24" s="290">
        <f>(Projections!$D$34*(Projections!N34/100))*-1</f>
        <v>0</v>
      </c>
      <c r="N24" s="290">
        <f>(Projections!$D$34*(Projections!O34/100))*-1</f>
        <v>0</v>
      </c>
      <c r="O24" s="290">
        <f>(Projections!$D$34*(Projections!P34/100))*-1</f>
        <v>0</v>
      </c>
      <c r="P24" s="290">
        <f t="shared" si="2"/>
        <v>0</v>
      </c>
      <c r="Q24" s="7"/>
    </row>
    <row r="25" spans="1:17" x14ac:dyDescent="0.2">
      <c r="A25" s="6"/>
      <c r="C25" s="305" t="s">
        <v>420</v>
      </c>
      <c r="D25" s="290">
        <f>(Projections!$D$35*(Projections!E35/100))*-1</f>
        <v>0</v>
      </c>
      <c r="E25" s="290">
        <f>(Projections!$D$35*(Projections!F35/100))*-1</f>
        <v>0</v>
      </c>
      <c r="F25" s="290">
        <f>(Projections!$D$35*(Projections!G35/100))*-1</f>
        <v>0</v>
      </c>
      <c r="G25" s="290">
        <f>(Projections!$D$35*(Projections!H35/100))*-1</f>
        <v>0</v>
      </c>
      <c r="H25" s="290">
        <f>(Projections!$D$35*(Projections!I35/100))*-1</f>
        <v>0</v>
      </c>
      <c r="I25" s="290">
        <f>(Projections!$D$35*(Projections!J35/100))*-1</f>
        <v>0</v>
      </c>
      <c r="J25" s="290">
        <f>(Projections!$D$35*(Projections!K35/100))*-1</f>
        <v>0</v>
      </c>
      <c r="K25" s="290">
        <f>(Projections!$D$35*(Projections!L35/100))*-1</f>
        <v>0</v>
      </c>
      <c r="L25" s="290">
        <f>(Projections!$D$35*(Projections!M35/100))*-1</f>
        <v>0</v>
      </c>
      <c r="M25" s="290">
        <f>(Projections!$D$35*(Projections!N35/100))*-1</f>
        <v>0</v>
      </c>
      <c r="N25" s="290">
        <f>(Projections!$D$35*(Projections!O35/100))*-1</f>
        <v>0</v>
      </c>
      <c r="O25" s="290">
        <f>(Projections!$D$35*(Projections!P35/100))*-1</f>
        <v>0</v>
      </c>
      <c r="P25" s="290">
        <f t="shared" si="2"/>
        <v>0</v>
      </c>
      <c r="Q25" s="7"/>
    </row>
    <row r="26" spans="1:17" x14ac:dyDescent="0.2">
      <c r="A26" s="6"/>
      <c r="C26" s="305" t="s">
        <v>421</v>
      </c>
      <c r="D26" s="290">
        <f>(Projections!$D$36*(Projections!E36/100))*-1</f>
        <v>0</v>
      </c>
      <c r="E26" s="290">
        <f>(Projections!$D$36*(Projections!F36/100))*-1</f>
        <v>0</v>
      </c>
      <c r="F26" s="290">
        <f>(Projections!$D$36*(Projections!G36/100))*-1</f>
        <v>0</v>
      </c>
      <c r="G26" s="290">
        <f>(Projections!$D$36*(Projections!H36/100))*-1</f>
        <v>0</v>
      </c>
      <c r="H26" s="290">
        <f>(Projections!$D$36*(Projections!I36/100))*-1</f>
        <v>0</v>
      </c>
      <c r="I26" s="290">
        <f>(Projections!$D$36*(Projections!J36/100))*-1</f>
        <v>0</v>
      </c>
      <c r="J26" s="290">
        <f>(Projections!$D$36*(Projections!K36/100))*-1</f>
        <v>0</v>
      </c>
      <c r="K26" s="290">
        <f>(Projections!$D$36*(Projections!L36/100))*-1</f>
        <v>0</v>
      </c>
      <c r="L26" s="290">
        <f>(Projections!$D$36*(Projections!M36/100))*-1</f>
        <v>0</v>
      </c>
      <c r="M26" s="290">
        <f>(Projections!$D$36*(Projections!N36/100))*-1</f>
        <v>0</v>
      </c>
      <c r="N26" s="290">
        <f>(Projections!$D$36*(Projections!O36/100))*-1</f>
        <v>0</v>
      </c>
      <c r="O26" s="290">
        <f>(Projections!$D$36*(Projections!P36/100))*-1</f>
        <v>0</v>
      </c>
      <c r="P26" s="290">
        <f t="shared" si="2"/>
        <v>0</v>
      </c>
      <c r="Q26" s="7"/>
    </row>
    <row r="27" spans="1:17" x14ac:dyDescent="0.2">
      <c r="A27" s="6"/>
      <c r="C27" s="305" t="s">
        <v>422</v>
      </c>
      <c r="D27" s="290">
        <f>(Projections!$D$37*(Projections!E37/100))*-1</f>
        <v>0</v>
      </c>
      <c r="E27" s="290">
        <f>(Projections!$D$37*(Projections!F37/100))*-1</f>
        <v>0</v>
      </c>
      <c r="F27" s="290">
        <f>(Projections!$D$37*(Projections!G37/100))*-1</f>
        <v>0</v>
      </c>
      <c r="G27" s="290">
        <f>(Projections!$D$37*(Projections!H37/100))*-1</f>
        <v>0</v>
      </c>
      <c r="H27" s="290">
        <f>(Projections!$D$37*(Projections!I37/100))*-1</f>
        <v>0</v>
      </c>
      <c r="I27" s="290">
        <f>(Projections!$D$37*(Projections!J37/100))*-1</f>
        <v>0</v>
      </c>
      <c r="J27" s="290">
        <f>(Projections!$D$37*(Projections!K37/100))*-1</f>
        <v>0</v>
      </c>
      <c r="K27" s="290">
        <f>(Projections!$D$37*(Projections!L37/100))*-1</f>
        <v>0</v>
      </c>
      <c r="L27" s="290">
        <f>(Projections!$D$37*(Projections!M37/100))*-1</f>
        <v>0</v>
      </c>
      <c r="M27" s="290">
        <f>(Projections!$D$37*(Projections!N37/100))*-1</f>
        <v>0</v>
      </c>
      <c r="N27" s="290">
        <f>(Projections!$D$37*(Projections!O37/100))*-1</f>
        <v>0</v>
      </c>
      <c r="O27" s="290">
        <f>(Projections!$D$37*(Projections!P37/100))*-1</f>
        <v>0</v>
      </c>
      <c r="P27" s="290">
        <f t="shared" si="2"/>
        <v>0</v>
      </c>
      <c r="Q27" s="7"/>
    </row>
    <row r="28" spans="1:17" x14ac:dyDescent="0.2">
      <c r="A28" s="6"/>
      <c r="C28" s="305" t="s">
        <v>423</v>
      </c>
      <c r="D28" s="290">
        <f>(Projections!$D$38*(Projections!E38/100))*-1</f>
        <v>0</v>
      </c>
      <c r="E28" s="290">
        <f>(Projections!$D$38*(Projections!F38/100))*-1</f>
        <v>0</v>
      </c>
      <c r="F28" s="290">
        <f>(Projections!$D$38*(Projections!G38/100))*-1</f>
        <v>0</v>
      </c>
      <c r="G28" s="290">
        <f>(Projections!$D$38*(Projections!H38/100))*-1</f>
        <v>0</v>
      </c>
      <c r="H28" s="290">
        <f>(Projections!$D$38*(Projections!I38/100))*-1</f>
        <v>0</v>
      </c>
      <c r="I28" s="290">
        <f>(Projections!$D$38*(Projections!J38/100))*-1</f>
        <v>0</v>
      </c>
      <c r="J28" s="290">
        <f>(Projections!$D$38*(Projections!K38/100))*-1</f>
        <v>0</v>
      </c>
      <c r="K28" s="290">
        <f>(Projections!$D$38*(Projections!L38/100))*-1</f>
        <v>0</v>
      </c>
      <c r="L28" s="290">
        <f>(Projections!$D$38*(Projections!M38/100))*-1</f>
        <v>0</v>
      </c>
      <c r="M28" s="290">
        <f>(Projections!$D$38*(Projections!N38/100))*-1</f>
        <v>0</v>
      </c>
      <c r="N28" s="290">
        <f>(Projections!$D$38*(Projections!O38/100))*-1</f>
        <v>0</v>
      </c>
      <c r="O28" s="290">
        <f>(Projections!$D$38*(Projections!P38/100))*-1</f>
        <v>0</v>
      </c>
      <c r="P28" s="290">
        <f t="shared" si="2"/>
        <v>0</v>
      </c>
      <c r="Q28" s="7"/>
    </row>
    <row r="29" spans="1:17" x14ac:dyDescent="0.2">
      <c r="A29" s="6"/>
      <c r="C29" s="307" t="s">
        <v>424</v>
      </c>
      <c r="D29" s="290">
        <f>(Projections!$D$39*(Projections!E39/100))*-1</f>
        <v>0</v>
      </c>
      <c r="E29" s="290">
        <f>(Projections!$D$39*(Projections!F39/100))*-1</f>
        <v>0</v>
      </c>
      <c r="F29" s="290">
        <f>(Projections!$D$39*(Projections!G39/100))*-1</f>
        <v>0</v>
      </c>
      <c r="G29" s="290">
        <f>(Projections!$D$39*(Projections!H39/100))*-1</f>
        <v>0</v>
      </c>
      <c r="H29" s="290">
        <f>(Projections!$D$39*(Projections!I39/100))*-1</f>
        <v>0</v>
      </c>
      <c r="I29" s="290">
        <f>(Projections!$D$39*(Projections!J39/100))*-1</f>
        <v>0</v>
      </c>
      <c r="J29" s="290">
        <f>(Projections!$D$39*(Projections!K39/100))*-1</f>
        <v>0</v>
      </c>
      <c r="K29" s="290">
        <f>(Projections!$D$39*(Projections!L39/100))*-1</f>
        <v>0</v>
      </c>
      <c r="L29" s="290">
        <f>(Projections!$D$39*(Projections!M39/100))*-1</f>
        <v>0</v>
      </c>
      <c r="M29" s="290">
        <f>(Projections!$D$39*(Projections!N39/100))*-1</f>
        <v>0</v>
      </c>
      <c r="N29" s="290">
        <f>(Projections!$D$39*(Projections!O39/100))*-1</f>
        <v>0</v>
      </c>
      <c r="O29" s="290">
        <f>(Projections!$D$39*(Projections!P39/100))*-1</f>
        <v>0</v>
      </c>
      <c r="P29" s="290">
        <f t="shared" si="2"/>
        <v>0</v>
      </c>
      <c r="Q29" s="7"/>
    </row>
    <row r="30" spans="1:17" x14ac:dyDescent="0.2">
      <c r="A30" s="6"/>
      <c r="C30" s="307" t="s">
        <v>425</v>
      </c>
      <c r="D30" s="290">
        <f>(Projections!$D$40*(Projections!E40/100))*-1</f>
        <v>0</v>
      </c>
      <c r="E30" s="290">
        <f>(Projections!$D$40*(Projections!F40/100))*-1</f>
        <v>0</v>
      </c>
      <c r="F30" s="290">
        <f>(Projections!$D$40*(Projections!G40/100))*-1</f>
        <v>0</v>
      </c>
      <c r="G30" s="290">
        <f>(Projections!$D$40*(Projections!H40/100))*-1</f>
        <v>0</v>
      </c>
      <c r="H30" s="290">
        <f>(Projections!$D$40*(Projections!I40/100))*-1</f>
        <v>0</v>
      </c>
      <c r="I30" s="290">
        <f>(Projections!$D$40*(Projections!J40/100))*-1</f>
        <v>0</v>
      </c>
      <c r="J30" s="290">
        <f>(Projections!$D$40*(Projections!K40/100))*-1</f>
        <v>0</v>
      </c>
      <c r="K30" s="290">
        <f>(Projections!$D$40*(Projections!L40/100))*-1</f>
        <v>0</v>
      </c>
      <c r="L30" s="290">
        <f>(Projections!$D$40*(Projections!M40/100))*-1</f>
        <v>0</v>
      </c>
      <c r="M30" s="290">
        <f>(Projections!$D$40*(Projections!N40/100))*-1</f>
        <v>0</v>
      </c>
      <c r="N30" s="290">
        <f>(Projections!$D$40*(Projections!O40/100))*-1</f>
        <v>0</v>
      </c>
      <c r="O30" s="290">
        <f>(Projections!$D$40*(Projections!P40/100))*-1</f>
        <v>0</v>
      </c>
      <c r="P30" s="290">
        <f t="shared" si="2"/>
        <v>0</v>
      </c>
      <c r="Q30" s="7"/>
    </row>
    <row r="31" spans="1:17" x14ac:dyDescent="0.2">
      <c r="A31" s="6"/>
      <c r="C31" s="305" t="s">
        <v>426</v>
      </c>
      <c r="D31" s="290">
        <f>(Projections!$D$41*(Projections!E41/100))*-1</f>
        <v>-190400</v>
      </c>
      <c r="E31" s="290">
        <f>(Projections!$D$41*(Projections!F41/100))*-1</f>
        <v>0</v>
      </c>
      <c r="F31" s="290">
        <f>(Projections!$D$41*(Projections!G41/100))*-1</f>
        <v>0</v>
      </c>
      <c r="G31" s="290">
        <f>(Projections!$D$41*(Projections!H41/100))*-1</f>
        <v>0</v>
      </c>
      <c r="H31" s="290">
        <f>(Projections!$D$41*(Projections!I41/100))*-1</f>
        <v>0</v>
      </c>
      <c r="I31" s="290">
        <f>(Projections!$D$41*(Projections!J41/100))*-1</f>
        <v>0</v>
      </c>
      <c r="J31" s="290">
        <f>(Projections!$D$41*(Projections!K41/100))*-1</f>
        <v>0</v>
      </c>
      <c r="K31" s="290">
        <f>(Projections!$D$41*(Projections!L41/100))*-1</f>
        <v>0</v>
      </c>
      <c r="L31" s="290">
        <f>(Projections!$D$41*(Projections!M41/100))*-1</f>
        <v>0</v>
      </c>
      <c r="M31" s="290">
        <f>(Projections!$D$41*(Projections!N41/100))*-1</f>
        <v>0</v>
      </c>
      <c r="N31" s="290">
        <f>(Projections!$D$41*(Projections!O41/100))*-1</f>
        <v>0</v>
      </c>
      <c r="O31" s="290">
        <f>(Projections!$D$41*(Projections!P41/100))*-1</f>
        <v>0</v>
      </c>
      <c r="P31" s="290">
        <f t="shared" si="2"/>
        <v>-190400</v>
      </c>
      <c r="Q31" s="7"/>
    </row>
    <row r="32" spans="1:17" x14ac:dyDescent="0.2">
      <c r="A32" s="6"/>
      <c r="C32" s="306" t="s">
        <v>466</v>
      </c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>
        <f t="shared" si="2"/>
        <v>0</v>
      </c>
      <c r="Q32" s="7"/>
    </row>
    <row r="33" spans="1:17" x14ac:dyDescent="0.2">
      <c r="A33" s="6"/>
      <c r="C33" s="306" t="s">
        <v>467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>
        <f t="shared" si="2"/>
        <v>0</v>
      </c>
      <c r="Q33" s="7"/>
    </row>
    <row r="34" spans="1:17" x14ac:dyDescent="0.2">
      <c r="A34" s="6"/>
      <c r="C34" s="306" t="s">
        <v>468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>
        <f t="shared" si="2"/>
        <v>0</v>
      </c>
      <c r="Q34" s="7"/>
    </row>
    <row r="35" spans="1:17" x14ac:dyDescent="0.2">
      <c r="A35" s="6"/>
      <c r="C35" s="303" t="s">
        <v>428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>
        <f t="shared" si="2"/>
        <v>0</v>
      </c>
      <c r="Q35" s="7"/>
    </row>
    <row r="36" spans="1:17" x14ac:dyDescent="0.2">
      <c r="A36" s="6"/>
      <c r="C36" s="299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7"/>
    </row>
    <row r="37" spans="1:17" x14ac:dyDescent="0.2">
      <c r="A37" s="6"/>
      <c r="C37" s="298" t="s">
        <v>469</v>
      </c>
      <c r="D37" s="312">
        <f>SUM(D38:D49)</f>
        <v>0</v>
      </c>
      <c r="E37" s="312">
        <f>SUM(E38:E49)</f>
        <v>0</v>
      </c>
      <c r="F37" s="312">
        <f>SUM(F38:F49)</f>
        <v>-60352</v>
      </c>
      <c r="G37" s="312">
        <f t="shared" ref="G37:O37" si="3">SUM(G38:G49)</f>
        <v>-60352</v>
      </c>
      <c r="H37" s="312">
        <f t="shared" si="3"/>
        <v>-60352</v>
      </c>
      <c r="I37" s="312">
        <f t="shared" si="3"/>
        <v>-95352</v>
      </c>
      <c r="J37" s="312">
        <f t="shared" si="3"/>
        <v>-60352</v>
      </c>
      <c r="K37" s="312">
        <f t="shared" si="3"/>
        <v>-60352</v>
      </c>
      <c r="L37" s="312">
        <f t="shared" si="3"/>
        <v>-60352</v>
      </c>
      <c r="M37" s="312">
        <f t="shared" si="3"/>
        <v>-60352</v>
      </c>
      <c r="N37" s="312">
        <f t="shared" si="3"/>
        <v>-60352</v>
      </c>
      <c r="O37" s="312">
        <f t="shared" si="3"/>
        <v>-95352</v>
      </c>
      <c r="P37" s="315">
        <f t="shared" si="2"/>
        <v>-673520</v>
      </c>
      <c r="Q37" s="7"/>
    </row>
    <row r="38" spans="1:17" x14ac:dyDescent="0.2">
      <c r="A38" s="6"/>
      <c r="C38" s="304" t="s">
        <v>430</v>
      </c>
      <c r="D38" s="301">
        <v>0</v>
      </c>
      <c r="E38" s="301">
        <f>(Projections!$D49*(Projections!F49/100))*-1</f>
        <v>0</v>
      </c>
      <c r="F38" s="301">
        <f>(Projections!$D49*(Projections!G49/100))*-1</f>
        <v>0</v>
      </c>
      <c r="G38" s="301">
        <f>(Projections!$D49*(Projections!H49/100))*-1</f>
        <v>0</v>
      </c>
      <c r="H38" s="301">
        <f>(Projections!$D49*(Projections!I49/100))*-1</f>
        <v>0</v>
      </c>
      <c r="I38" s="301">
        <f>(Projections!$D49*(Projections!J49/100))*-1</f>
        <v>-20000</v>
      </c>
      <c r="J38" s="301">
        <f>(Projections!$D49*(Projections!K49/100))*-1</f>
        <v>0</v>
      </c>
      <c r="K38" s="301">
        <f>(Projections!$D49*(Projections!L49/100))*-1</f>
        <v>0</v>
      </c>
      <c r="L38" s="301">
        <f>(Projections!$D49*(Projections!M49/100))*-1</f>
        <v>0</v>
      </c>
      <c r="M38" s="301">
        <f>(Projections!$D49*(Projections!N49/100))*-1</f>
        <v>0</v>
      </c>
      <c r="N38" s="301">
        <f>(Projections!$D49*(Projections!O49/100))*-1</f>
        <v>0</v>
      </c>
      <c r="O38" s="301">
        <f>(Projections!$D49*(Projections!P49/100))*-1</f>
        <v>-20000</v>
      </c>
      <c r="P38" s="290">
        <f t="shared" si="2"/>
        <v>-40000</v>
      </c>
      <c r="Q38" s="7"/>
    </row>
    <row r="39" spans="1:17" x14ac:dyDescent="0.2">
      <c r="A39" s="6"/>
      <c r="C39" s="305" t="s">
        <v>431</v>
      </c>
      <c r="D39" s="290">
        <v>0</v>
      </c>
      <c r="E39" s="290">
        <f>(Projections!$D50*(Projections!F50/100))*-1</f>
        <v>0</v>
      </c>
      <c r="F39" s="290">
        <f>(Projections!$D50*(Projections!G50/100))*-1</f>
        <v>0</v>
      </c>
      <c r="G39" s="290">
        <f>(Projections!$D50*(Projections!H50/100))*-1</f>
        <v>0</v>
      </c>
      <c r="H39" s="290">
        <f>(Projections!$D50*(Projections!I50/100))*-1</f>
        <v>0</v>
      </c>
      <c r="I39" s="290">
        <f>(Projections!$D50*(Projections!J50/100))*-1</f>
        <v>-15000</v>
      </c>
      <c r="J39" s="290">
        <f>(Projections!$D50*(Projections!K50/100))*-1</f>
        <v>0</v>
      </c>
      <c r="K39" s="290">
        <f>(Projections!$D50*(Projections!L50/100))*-1</f>
        <v>0</v>
      </c>
      <c r="L39" s="290">
        <f>(Projections!$D50*(Projections!M50/100))*-1</f>
        <v>0</v>
      </c>
      <c r="M39" s="290">
        <f>(Projections!$D50*(Projections!N50/100))*-1</f>
        <v>0</v>
      </c>
      <c r="N39" s="290">
        <f>(Projections!$D50*(Projections!O50/100))*-1</f>
        <v>0</v>
      </c>
      <c r="O39" s="290">
        <f>(Projections!$D50*(Projections!P50/100))*-1</f>
        <v>-15000</v>
      </c>
      <c r="P39" s="290">
        <f t="shared" si="2"/>
        <v>-30000</v>
      </c>
      <c r="Q39" s="7"/>
    </row>
    <row r="40" spans="1:17" x14ac:dyDescent="0.2">
      <c r="A40" s="6"/>
      <c r="C40" s="306" t="s">
        <v>185</v>
      </c>
      <c r="D40" s="290">
        <v>0</v>
      </c>
      <c r="E40" s="290">
        <v>0</v>
      </c>
      <c r="F40" s="290">
        <f>(Projections!$D51*(Projections!G51/100))*-1</f>
        <v>-7680</v>
      </c>
      <c r="G40" s="290">
        <f>(Projections!$D51*(Projections!H51/100))*-1</f>
        <v>-7680</v>
      </c>
      <c r="H40" s="290">
        <f>(Projections!$D51*(Projections!I51/100))*-1</f>
        <v>-7680</v>
      </c>
      <c r="I40" s="290">
        <f>(Projections!$D51*(Projections!J51/100))*-1</f>
        <v>-7680</v>
      </c>
      <c r="J40" s="290">
        <f>(Projections!$D51*(Projections!K51/100))*-1</f>
        <v>-7680</v>
      </c>
      <c r="K40" s="290">
        <f>(Projections!$D51*(Projections!L51/100))*-1</f>
        <v>-7680</v>
      </c>
      <c r="L40" s="290">
        <f>(Projections!$D51*(Projections!M51/100))*-1</f>
        <v>-7680</v>
      </c>
      <c r="M40" s="290">
        <f>(Projections!$D51*(Projections!N51/100))*-1</f>
        <v>-7680</v>
      </c>
      <c r="N40" s="290">
        <f>(Projections!$D51*(Projections!O51/100))*-1</f>
        <v>-7680</v>
      </c>
      <c r="O40" s="290">
        <f>(Projections!$D51*(Projections!P51/100))*-1</f>
        <v>-7680</v>
      </c>
      <c r="P40" s="290">
        <f t="shared" si="2"/>
        <v>-76800</v>
      </c>
      <c r="Q40" s="7"/>
    </row>
    <row r="41" spans="1:17" x14ac:dyDescent="0.2">
      <c r="A41" s="6"/>
      <c r="C41" s="306" t="s">
        <v>186</v>
      </c>
      <c r="D41" s="290">
        <v>0</v>
      </c>
      <c r="E41" s="290">
        <v>0</v>
      </c>
      <c r="F41" s="290">
        <f>(Projections!$D$52*(Projections!G52/100))*-1</f>
        <v>-640</v>
      </c>
      <c r="G41" s="290">
        <f>(Projections!$D$52*(Projections!H52/100))*-1</f>
        <v>-640</v>
      </c>
      <c r="H41" s="290">
        <f>(Projections!$D$52*(Projections!I52/100))*-1</f>
        <v>-640</v>
      </c>
      <c r="I41" s="290">
        <f>(Projections!$D$52*(Projections!J52/100))*-1</f>
        <v>-640</v>
      </c>
      <c r="J41" s="290">
        <f>(Projections!$D$52*(Projections!K52/100))*-1</f>
        <v>-640</v>
      </c>
      <c r="K41" s="290">
        <f>(Projections!$D$52*(Projections!L52/100))*-1</f>
        <v>-640</v>
      </c>
      <c r="L41" s="290">
        <f>(Projections!$D$52*(Projections!M52/100))*-1</f>
        <v>-640</v>
      </c>
      <c r="M41" s="290">
        <f>(Projections!$D$52*(Projections!N52/100))*-1</f>
        <v>-640</v>
      </c>
      <c r="N41" s="290">
        <f>(Projections!$D$52*(Projections!O52/100))*-1</f>
        <v>-640</v>
      </c>
      <c r="O41" s="290">
        <f>(Projections!$D$52*(Projections!P52/100))*-1</f>
        <v>-640</v>
      </c>
      <c r="P41" s="290">
        <f t="shared" si="2"/>
        <v>-6400</v>
      </c>
      <c r="Q41" s="7"/>
    </row>
    <row r="42" spans="1:17" x14ac:dyDescent="0.2">
      <c r="A42" s="6"/>
      <c r="C42" s="306" t="s">
        <v>187</v>
      </c>
      <c r="D42" s="290">
        <v>0</v>
      </c>
      <c r="E42" s="290">
        <v>0</v>
      </c>
      <c r="F42" s="290">
        <f>(Projections!$D$53*(Projections!G53/100))*-1</f>
        <v>-960</v>
      </c>
      <c r="G42" s="290">
        <f>(Projections!$D$53*(Projections!H53/100))*-1</f>
        <v>-960</v>
      </c>
      <c r="H42" s="290">
        <f>(Projections!$D$53*(Projections!I53/100))*-1</f>
        <v>-960</v>
      </c>
      <c r="I42" s="290">
        <f>(Projections!$D$53*(Projections!J53/100))*-1</f>
        <v>-960</v>
      </c>
      <c r="J42" s="290">
        <f>(Projections!$D$53*(Projections!K53/100))*-1</f>
        <v>-960</v>
      </c>
      <c r="K42" s="290">
        <f>(Projections!$D$53*(Projections!L53/100))*-1</f>
        <v>-960</v>
      </c>
      <c r="L42" s="290">
        <f>(Projections!$D$53*(Projections!M53/100))*-1</f>
        <v>-960</v>
      </c>
      <c r="M42" s="290">
        <f>(Projections!$D$53*(Projections!N53/100))*-1</f>
        <v>-960</v>
      </c>
      <c r="N42" s="290">
        <f>(Projections!$D$53*(Projections!O53/100))*-1</f>
        <v>-960</v>
      </c>
      <c r="O42" s="290">
        <f>(Projections!$D$53*(Projections!P53/100))*-1</f>
        <v>-960</v>
      </c>
      <c r="P42" s="290">
        <f t="shared" si="2"/>
        <v>-9600</v>
      </c>
      <c r="Q42" s="7"/>
    </row>
    <row r="43" spans="1:17" x14ac:dyDescent="0.2">
      <c r="A43" s="6"/>
      <c r="C43" s="306" t="s">
        <v>191</v>
      </c>
      <c r="D43" s="290">
        <v>0</v>
      </c>
      <c r="E43" s="290">
        <v>0</v>
      </c>
      <c r="F43" s="290">
        <f>(Projections!$D$54*(Projections!G54/100))*-1</f>
        <v>-1152</v>
      </c>
      <c r="G43" s="290">
        <f>(Projections!$D$54*(Projections!H54/100))*-1</f>
        <v>-1152</v>
      </c>
      <c r="H43" s="290">
        <f>(Projections!$D$54*(Projections!I54/100))*-1</f>
        <v>-1152</v>
      </c>
      <c r="I43" s="290">
        <f>(Projections!$D$54*(Projections!J54/100))*-1</f>
        <v>-1152</v>
      </c>
      <c r="J43" s="290">
        <f>(Projections!$D$54*(Projections!K54/100))*-1</f>
        <v>-1152</v>
      </c>
      <c r="K43" s="290">
        <f>(Projections!$D$54*(Projections!L54/100))*-1</f>
        <v>-1152</v>
      </c>
      <c r="L43" s="290">
        <f>(Projections!$D$54*(Projections!M54/100))*-1</f>
        <v>-1152</v>
      </c>
      <c r="M43" s="290">
        <f>(Projections!$D$54*(Projections!N54/100))*-1</f>
        <v>-1152</v>
      </c>
      <c r="N43" s="290">
        <f>(Projections!$D$54*(Projections!O54/100))*-1</f>
        <v>-1152</v>
      </c>
      <c r="O43" s="290">
        <f>(Projections!$D$54*(Projections!P54/100))*-1</f>
        <v>-1152</v>
      </c>
      <c r="P43" s="290">
        <f t="shared" si="2"/>
        <v>-11520</v>
      </c>
      <c r="Q43" s="7"/>
    </row>
    <row r="44" spans="1:17" x14ac:dyDescent="0.2">
      <c r="A44" s="6"/>
      <c r="C44" s="306" t="s">
        <v>193</v>
      </c>
      <c r="D44" s="290">
        <v>0</v>
      </c>
      <c r="E44" s="290">
        <v>0</v>
      </c>
      <c r="F44" s="290">
        <f>(Projections!$D$55*(Projections!G55/100))*-1</f>
        <v>0</v>
      </c>
      <c r="G44" s="290">
        <f>(Projections!$D$55*(Projections!H55/100))*-1</f>
        <v>0</v>
      </c>
      <c r="H44" s="290">
        <f>(Projections!$D$55*(Projections!I55/100))*-1</f>
        <v>0</v>
      </c>
      <c r="I44" s="290">
        <f>(Projections!$D$55*(Projections!J55/100))*-1</f>
        <v>0</v>
      </c>
      <c r="J44" s="290">
        <f>(Projections!$D$55*(Projections!K55/100))*-1</f>
        <v>0</v>
      </c>
      <c r="K44" s="290">
        <f>(Projections!$D$55*(Projections!L55/100))*-1</f>
        <v>0</v>
      </c>
      <c r="L44" s="290">
        <f>(Projections!$D$55*(Projections!M55/100))*-1</f>
        <v>0</v>
      </c>
      <c r="M44" s="290">
        <f>(Projections!$D$55*(Projections!N55/100))*-1</f>
        <v>0</v>
      </c>
      <c r="N44" s="290">
        <f>(Projections!$D$55*(Projections!O55/100))*-1</f>
        <v>0</v>
      </c>
      <c r="O44" s="290">
        <f>(Projections!$D$55*(Projections!P55/100))*-1</f>
        <v>0</v>
      </c>
      <c r="P44" s="290">
        <f t="shared" si="2"/>
        <v>0</v>
      </c>
      <c r="Q44" s="7"/>
    </row>
    <row r="45" spans="1:17" x14ac:dyDescent="0.2">
      <c r="A45" s="6"/>
      <c r="C45" s="306" t="s">
        <v>188</v>
      </c>
      <c r="D45" s="290">
        <v>0</v>
      </c>
      <c r="E45" s="290">
        <v>0</v>
      </c>
      <c r="F45" s="290">
        <f>(Projections!$D$56*(Projections!G56/100))*-1</f>
        <v>-28800</v>
      </c>
      <c r="G45" s="290">
        <f>(Projections!$D$56*(Projections!H56/100))*-1</f>
        <v>-28800</v>
      </c>
      <c r="H45" s="290">
        <f>(Projections!$D$56*(Projections!I56/100))*-1</f>
        <v>-28800</v>
      </c>
      <c r="I45" s="290">
        <f>(Projections!$D$56*(Projections!J56/100))*-1</f>
        <v>-28800</v>
      </c>
      <c r="J45" s="290">
        <f>(Projections!$D$56*(Projections!K56/100))*-1</f>
        <v>-28800</v>
      </c>
      <c r="K45" s="290">
        <f>(Projections!$D$56*(Projections!L56/100))*-1</f>
        <v>-28800</v>
      </c>
      <c r="L45" s="290">
        <f>(Projections!$D$56*(Projections!M56/100))*-1</f>
        <v>-28800</v>
      </c>
      <c r="M45" s="290">
        <f>(Projections!$D$56*(Projections!N56/100))*-1</f>
        <v>-28800</v>
      </c>
      <c r="N45" s="290">
        <f>(Projections!$D$56*(Projections!O56/100))*-1</f>
        <v>-28800</v>
      </c>
      <c r="O45" s="290">
        <f>(Projections!$D$56*(Projections!P56/100))*-1</f>
        <v>-28800</v>
      </c>
      <c r="P45" s="290">
        <f t="shared" si="2"/>
        <v>-288000</v>
      </c>
      <c r="Q45" s="7"/>
    </row>
    <row r="46" spans="1:17" x14ac:dyDescent="0.2">
      <c r="A46" s="6"/>
      <c r="C46" s="306" t="s">
        <v>189</v>
      </c>
      <c r="D46" s="290">
        <v>0</v>
      </c>
      <c r="E46" s="290">
        <v>0</v>
      </c>
      <c r="F46" s="290">
        <f>(Projections!$D$57*(Projections!G57/100))*-1</f>
        <v>-2400</v>
      </c>
      <c r="G46" s="290">
        <f>(Projections!$D$57*(Projections!H57/100))*-1</f>
        <v>-2400</v>
      </c>
      <c r="H46" s="290">
        <f>(Projections!$D$57*(Projections!I57/100))*-1</f>
        <v>-2400</v>
      </c>
      <c r="I46" s="290">
        <f>(Projections!$D$57*(Projections!J57/100))*-1</f>
        <v>-2400</v>
      </c>
      <c r="J46" s="290">
        <f>(Projections!$D$57*(Projections!K57/100))*-1</f>
        <v>-2400</v>
      </c>
      <c r="K46" s="290">
        <f>(Projections!$D$57*(Projections!L57/100))*-1</f>
        <v>-2400</v>
      </c>
      <c r="L46" s="290">
        <f>(Projections!$D$57*(Projections!M57/100))*-1</f>
        <v>-2400</v>
      </c>
      <c r="M46" s="290">
        <f>(Projections!$D$57*(Projections!N57/100))*-1</f>
        <v>-2400</v>
      </c>
      <c r="N46" s="290">
        <f>(Projections!$D$57*(Projections!O57/100))*-1</f>
        <v>-2400</v>
      </c>
      <c r="O46" s="290">
        <f>(Projections!$D$57*(Projections!P57/100))*-1</f>
        <v>-2400</v>
      </c>
      <c r="P46" s="290">
        <f t="shared" si="2"/>
        <v>-24000</v>
      </c>
      <c r="Q46" s="7"/>
    </row>
    <row r="47" spans="1:17" x14ac:dyDescent="0.2">
      <c r="A47" s="6"/>
      <c r="C47" s="306" t="s">
        <v>190</v>
      </c>
      <c r="D47" s="290">
        <v>0</v>
      </c>
      <c r="E47" s="290">
        <v>0</v>
      </c>
      <c r="F47" s="290">
        <f>(Projections!$D$58*(Projections!G58/100))*-1</f>
        <v>-11520</v>
      </c>
      <c r="G47" s="290">
        <f>(Projections!$D$58*(Projections!H58/100))*-1</f>
        <v>-11520</v>
      </c>
      <c r="H47" s="290">
        <f>(Projections!$D$58*(Projections!I58/100))*-1</f>
        <v>-11520</v>
      </c>
      <c r="I47" s="290">
        <f>(Projections!$D$58*(Projections!J58/100))*-1</f>
        <v>-11520</v>
      </c>
      <c r="J47" s="290">
        <f>(Projections!$D$58*(Projections!K58/100))*-1</f>
        <v>-11520</v>
      </c>
      <c r="K47" s="290">
        <f>(Projections!$D$58*(Projections!L58/100))*-1</f>
        <v>-11520</v>
      </c>
      <c r="L47" s="290">
        <f>(Projections!$D$58*(Projections!M58/100))*-1</f>
        <v>-11520</v>
      </c>
      <c r="M47" s="290">
        <f>(Projections!$D$58*(Projections!N58/100))*-1</f>
        <v>-11520</v>
      </c>
      <c r="N47" s="290">
        <f>(Projections!$D$58*(Projections!O58/100))*-1</f>
        <v>-11520</v>
      </c>
      <c r="O47" s="290">
        <f>(Projections!$D$58*(Projections!P58/100))*-1</f>
        <v>-11520</v>
      </c>
      <c r="P47" s="290">
        <f t="shared" si="2"/>
        <v>-115200</v>
      </c>
      <c r="Q47" s="7"/>
    </row>
    <row r="48" spans="1:17" x14ac:dyDescent="0.2">
      <c r="A48" s="6"/>
      <c r="C48" s="306" t="s">
        <v>192</v>
      </c>
      <c r="D48" s="290">
        <v>0</v>
      </c>
      <c r="E48" s="290">
        <v>0</v>
      </c>
      <c r="F48" s="290">
        <f>(Projections!$D$59*(Projections!G59/100))*-1</f>
        <v>-7200</v>
      </c>
      <c r="G48" s="290">
        <f>(Projections!$D$59*(Projections!H59/100))*-1</f>
        <v>-7200</v>
      </c>
      <c r="H48" s="290">
        <f>(Projections!$D$59*(Projections!I59/100))*-1</f>
        <v>-7200</v>
      </c>
      <c r="I48" s="290">
        <f>(Projections!$D$59*(Projections!J59/100))*-1</f>
        <v>-7200</v>
      </c>
      <c r="J48" s="290">
        <f>(Projections!$D$59*(Projections!K59/100))*-1</f>
        <v>-7200</v>
      </c>
      <c r="K48" s="290">
        <f>(Projections!$D$59*(Projections!L59/100))*-1</f>
        <v>-7200</v>
      </c>
      <c r="L48" s="290">
        <f>(Projections!$D$59*(Projections!M59/100))*-1</f>
        <v>-7200</v>
      </c>
      <c r="M48" s="290">
        <f>(Projections!$D$59*(Projections!N59/100))*-1</f>
        <v>-7200</v>
      </c>
      <c r="N48" s="290">
        <f>(Projections!$D$59*(Projections!O59/100))*-1</f>
        <v>-7200</v>
      </c>
      <c r="O48" s="290">
        <f>(Projections!$D$59*(Projections!P59/100))*-1</f>
        <v>-7200</v>
      </c>
      <c r="P48" s="290">
        <f t="shared" si="2"/>
        <v>-72000</v>
      </c>
      <c r="Q48" s="7"/>
    </row>
    <row r="49" spans="1:17" x14ac:dyDescent="0.2">
      <c r="A49" s="6"/>
      <c r="C49" s="303" t="s">
        <v>194</v>
      </c>
      <c r="D49" s="291">
        <f>(Projections!$D$60*(Projections!E60/100))*-1</f>
        <v>0</v>
      </c>
      <c r="E49" s="291">
        <v>0</v>
      </c>
      <c r="F49" s="291">
        <f>(Projections!$D$60*(Projections!G60/100))*-1</f>
        <v>0</v>
      </c>
      <c r="G49" s="291">
        <f>(Projections!$D$60*(Projections!H60/100))*-1</f>
        <v>0</v>
      </c>
      <c r="H49" s="291">
        <f>(Projections!$D$60*(Projections!I60/100))*-1</f>
        <v>0</v>
      </c>
      <c r="I49" s="291">
        <f>(Projections!$D$60*(Projections!J60/100))*-1</f>
        <v>0</v>
      </c>
      <c r="J49" s="291">
        <f>(Projections!$D$60*(Projections!K60/100))*-1</f>
        <v>0</v>
      </c>
      <c r="K49" s="291">
        <f>(Projections!$D$60*(Projections!L60/100))*-1</f>
        <v>0</v>
      </c>
      <c r="L49" s="291">
        <f>(Projections!$D$60*(Projections!M60/100))*-1</f>
        <v>0</v>
      </c>
      <c r="M49" s="291">
        <f>(Projections!$D$60*(Projections!N60/100))*-1</f>
        <v>0</v>
      </c>
      <c r="N49" s="291">
        <f>(Projections!$D$60*(Projections!O60/100))*-1</f>
        <v>0</v>
      </c>
      <c r="O49" s="291">
        <f>(Projections!$D$60*(Projections!P60/100))*-1</f>
        <v>0</v>
      </c>
      <c r="P49" s="291">
        <f t="shared" si="2"/>
        <v>0</v>
      </c>
      <c r="Q49" s="7"/>
    </row>
    <row r="50" spans="1:17" x14ac:dyDescent="0.2">
      <c r="A50" s="6"/>
      <c r="C50" s="298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7"/>
    </row>
    <row r="51" spans="1:17" x14ac:dyDescent="0.2">
      <c r="A51" s="6"/>
      <c r="C51" s="298" t="s">
        <v>411</v>
      </c>
      <c r="D51" s="312">
        <f>SUM(D52:D53)</f>
        <v>-38062.5</v>
      </c>
      <c r="E51" s="312">
        <f>SUM(E52:E53)</f>
        <v>-182470.83333333334</v>
      </c>
      <c r="F51" s="312">
        <f>SUM(F52:F53)</f>
        <v>-35979.166666666664</v>
      </c>
      <c r="G51" s="312">
        <f t="shared" ref="G51:O51" si="4">SUM(G52:G53)</f>
        <v>-34937.5</v>
      </c>
      <c r="H51" s="312">
        <f t="shared" si="4"/>
        <v>-35695.833333333336</v>
      </c>
      <c r="I51" s="312">
        <f t="shared" si="4"/>
        <v>-176504.16666666666</v>
      </c>
      <c r="J51" s="312">
        <f t="shared" si="4"/>
        <v>-31812.5</v>
      </c>
      <c r="K51" s="312">
        <f t="shared" si="4"/>
        <v>-32570.833333333339</v>
      </c>
      <c r="L51" s="312">
        <f t="shared" si="4"/>
        <v>-29729.166666666668</v>
      </c>
      <c r="M51" s="312">
        <f t="shared" si="4"/>
        <v>-28687.5</v>
      </c>
      <c r="N51" s="312">
        <f t="shared" si="4"/>
        <v>-29445.833333333328</v>
      </c>
      <c r="O51" s="312">
        <f t="shared" si="4"/>
        <v>-26604.166666666668</v>
      </c>
      <c r="P51" s="315">
        <f t="shared" si="2"/>
        <v>-682500</v>
      </c>
      <c r="Q51" s="7"/>
    </row>
    <row r="52" spans="1:17" x14ac:dyDescent="0.2">
      <c r="A52" s="6"/>
      <c r="C52" s="302" t="s">
        <v>470</v>
      </c>
      <c r="D52" s="301">
        <f>(Projections!T2)*-1</f>
        <v>-562.50000000000011</v>
      </c>
      <c r="E52" s="301">
        <f>(Projections!U2)*-1</f>
        <v>-146012.5</v>
      </c>
      <c r="F52" s="301">
        <f>(Projections!V2)*-1</f>
        <v>-562.50000000000011</v>
      </c>
      <c r="G52" s="301">
        <f>(Projections!W2)*-1</f>
        <v>-562.50000000000011</v>
      </c>
      <c r="H52" s="301">
        <f>(Projections!X2)*-1</f>
        <v>-2362.5</v>
      </c>
      <c r="I52" s="301">
        <f>(Projections!Y2)*-1</f>
        <v>-144212.5</v>
      </c>
      <c r="J52" s="301">
        <f>(Projections!Z2)*-1</f>
        <v>-562.50000000000011</v>
      </c>
      <c r="K52" s="301">
        <f>(Projections!AA2)*-1</f>
        <v>-2362.5</v>
      </c>
      <c r="L52" s="301">
        <f>(Projections!AB2)*-1</f>
        <v>-562.50000000000011</v>
      </c>
      <c r="M52" s="301">
        <f>(Projections!AC2)*-1</f>
        <v>-562.50000000000011</v>
      </c>
      <c r="N52" s="301">
        <f>(Projections!AD2)*-1</f>
        <v>-2362.5</v>
      </c>
      <c r="O52" s="301">
        <f>(Projections!AE2)*-1</f>
        <v>-562.50000000000011</v>
      </c>
      <c r="P52" s="290">
        <f t="shared" si="2"/>
        <v>-301250</v>
      </c>
      <c r="Q52" s="7"/>
    </row>
    <row r="53" spans="1:17" x14ac:dyDescent="0.2">
      <c r="A53" s="6"/>
      <c r="C53" s="303" t="s">
        <v>471</v>
      </c>
      <c r="D53" s="291">
        <f>+($D$6*$D$7/100/12)*-1</f>
        <v>-37500</v>
      </c>
      <c r="E53" s="291">
        <f>+(($D$6+SUM(D62:D62))*$D$7/100/12)*-1</f>
        <v>-36458.333333333336</v>
      </c>
      <c r="F53" s="291">
        <f>+(($D$6+SUM(D62:E62))*$D$7/100/12)*-1</f>
        <v>-35416.666666666664</v>
      </c>
      <c r="G53" s="291">
        <f>+(($D$6+SUM(D62:F62))*$D$7/100/12)*-1</f>
        <v>-34375</v>
      </c>
      <c r="H53" s="291">
        <f>+(($D$6+SUM(D62:G62))*$D$7/100/12)*-1</f>
        <v>-33333.333333333336</v>
      </c>
      <c r="I53" s="291">
        <f>+(($D$6+SUM(D62:H62))*$D$7/100/12)*-1</f>
        <v>-32291.666666666668</v>
      </c>
      <c r="J53" s="291">
        <f>+(($D$6+SUM(D62:I62))*$D$7/100/12)*-1</f>
        <v>-31250</v>
      </c>
      <c r="K53" s="291">
        <f>+(($D$6+SUM(D62:J62))*$D$7/100/12)*-1</f>
        <v>-30208.333333333339</v>
      </c>
      <c r="L53" s="291">
        <f>+(($D$6+SUM(D62:K62))*$D$7/100/12)*-1</f>
        <v>-29166.666666666668</v>
      </c>
      <c r="M53" s="291">
        <f>+(($D$6+SUM(D62:L62))*$D$7/100/12)*-1</f>
        <v>-28125</v>
      </c>
      <c r="N53" s="291">
        <f>+(($D$6+SUM(D62:M62))*$D$7/100/12)*-1</f>
        <v>-27083.333333333328</v>
      </c>
      <c r="O53" s="291">
        <f>+(($D$6+SUM(D62:N62))*$D$7/100/12)*-1</f>
        <v>-26041.666666666668</v>
      </c>
      <c r="P53" s="291">
        <f t="shared" si="2"/>
        <v>-381250</v>
      </c>
      <c r="Q53" s="7"/>
    </row>
    <row r="54" spans="1:17" x14ac:dyDescent="0.2">
      <c r="A54" s="6"/>
      <c r="C54" s="298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7"/>
    </row>
    <row r="55" spans="1:17" x14ac:dyDescent="0.2">
      <c r="A55" s="6"/>
      <c r="P55" s="310"/>
      <c r="Q55" s="7"/>
    </row>
    <row r="56" spans="1:17" x14ac:dyDescent="0.2">
      <c r="A56" s="6"/>
      <c r="C56" s="66" t="s">
        <v>472</v>
      </c>
      <c r="D56" s="292">
        <f>(D51+D37)</f>
        <v>-38062.5</v>
      </c>
      <c r="E56" s="292">
        <f t="shared" ref="E56:O56" si="5">(E51+E37)</f>
        <v>-182470.83333333334</v>
      </c>
      <c r="F56" s="292">
        <f t="shared" si="5"/>
        <v>-96331.166666666657</v>
      </c>
      <c r="G56" s="292">
        <f t="shared" si="5"/>
        <v>-95289.5</v>
      </c>
      <c r="H56" s="292">
        <f t="shared" si="5"/>
        <v>-96047.833333333343</v>
      </c>
      <c r="I56" s="292">
        <f t="shared" si="5"/>
        <v>-271856.16666666663</v>
      </c>
      <c r="J56" s="292">
        <f t="shared" si="5"/>
        <v>-92164.5</v>
      </c>
      <c r="K56" s="292">
        <f t="shared" si="5"/>
        <v>-92922.833333333343</v>
      </c>
      <c r="L56" s="292">
        <f t="shared" si="5"/>
        <v>-90081.166666666672</v>
      </c>
      <c r="M56" s="292">
        <f t="shared" si="5"/>
        <v>-89039.5</v>
      </c>
      <c r="N56" s="292">
        <f t="shared" si="5"/>
        <v>-89797.833333333328</v>
      </c>
      <c r="O56" s="292">
        <f t="shared" si="5"/>
        <v>-121956.16666666667</v>
      </c>
      <c r="P56" s="292">
        <f>SUM(D56:O56)</f>
        <v>-1356020</v>
      </c>
      <c r="Q56" s="7"/>
    </row>
    <row r="57" spans="1:17" x14ac:dyDescent="0.2">
      <c r="A57" s="6"/>
      <c r="C57" s="66" t="s">
        <v>474</v>
      </c>
      <c r="D57" s="292">
        <f>(D14+D56)</f>
        <v>82537.5</v>
      </c>
      <c r="E57" s="292">
        <f>(E14+E56)</f>
        <v>-81970.833333333343</v>
      </c>
      <c r="F57" s="292">
        <f>(F14+F56)</f>
        <v>4168.833333333343</v>
      </c>
      <c r="G57" s="292">
        <f t="shared" ref="G57:O57" si="6">(G14+G56)</f>
        <v>5210.5</v>
      </c>
      <c r="H57" s="292">
        <f t="shared" si="6"/>
        <v>205452.16666666666</v>
      </c>
      <c r="I57" s="292">
        <f t="shared" si="6"/>
        <v>29643.833333333372</v>
      </c>
      <c r="J57" s="292">
        <f t="shared" si="6"/>
        <v>209335.5</v>
      </c>
      <c r="K57" s="292">
        <f t="shared" si="6"/>
        <v>208577.16666666666</v>
      </c>
      <c r="L57" s="292">
        <f t="shared" si="6"/>
        <v>10418.833333333328</v>
      </c>
      <c r="M57" s="292">
        <f t="shared" si="6"/>
        <v>11460.5</v>
      </c>
      <c r="N57" s="292">
        <f t="shared" si="6"/>
        <v>10702.166666666672</v>
      </c>
      <c r="O57" s="292">
        <f t="shared" si="6"/>
        <v>-21456.166666666672</v>
      </c>
      <c r="P57" s="292">
        <f t="shared" si="2"/>
        <v>674080</v>
      </c>
      <c r="Q57" s="7"/>
    </row>
    <row r="58" spans="1:17" x14ac:dyDescent="0.2">
      <c r="A58" s="6"/>
      <c r="C58" s="66" t="s">
        <v>480</v>
      </c>
      <c r="D58" s="292"/>
      <c r="E58" s="292"/>
      <c r="F58" s="292"/>
      <c r="G58" s="292"/>
      <c r="H58" s="292"/>
      <c r="I58" s="292">
        <f>SUM($P$20:$P$31)*0.5*0.5</f>
        <v>-580732</v>
      </c>
      <c r="J58" s="292"/>
      <c r="K58" s="292"/>
      <c r="L58" s="292"/>
      <c r="M58" s="292"/>
      <c r="N58" s="292"/>
      <c r="O58" s="292">
        <f>SUM($P$20:$P$31)*0.5*0.5</f>
        <v>-580732</v>
      </c>
      <c r="P58" s="292">
        <f t="shared" si="2"/>
        <v>-1161464</v>
      </c>
      <c r="Q58" s="7"/>
    </row>
    <row r="59" spans="1:17" x14ac:dyDescent="0.2">
      <c r="A59" s="6"/>
      <c r="C59" s="66" t="s">
        <v>481</v>
      </c>
      <c r="D59" s="292">
        <f t="shared" ref="D59:O59" si="7">(D57+D58)</f>
        <v>82537.5</v>
      </c>
      <c r="E59" s="292">
        <f t="shared" si="7"/>
        <v>-81970.833333333343</v>
      </c>
      <c r="F59" s="292">
        <f t="shared" si="7"/>
        <v>4168.833333333343</v>
      </c>
      <c r="G59" s="292">
        <f t="shared" si="7"/>
        <v>5210.5</v>
      </c>
      <c r="H59" s="292">
        <f t="shared" si="7"/>
        <v>205452.16666666666</v>
      </c>
      <c r="I59" s="292">
        <f t="shared" si="7"/>
        <v>-551088.16666666663</v>
      </c>
      <c r="J59" s="292">
        <f t="shared" si="7"/>
        <v>209335.5</v>
      </c>
      <c r="K59" s="292">
        <f t="shared" si="7"/>
        <v>208577.16666666666</v>
      </c>
      <c r="L59" s="292">
        <f t="shared" si="7"/>
        <v>10418.833333333328</v>
      </c>
      <c r="M59" s="292">
        <f t="shared" si="7"/>
        <v>11460.5</v>
      </c>
      <c r="N59" s="292">
        <f t="shared" si="7"/>
        <v>10702.166666666672</v>
      </c>
      <c r="O59" s="292">
        <f t="shared" si="7"/>
        <v>-602188.16666666663</v>
      </c>
      <c r="P59" s="292">
        <f t="shared" si="2"/>
        <v>-487384</v>
      </c>
      <c r="Q59" s="7"/>
    </row>
    <row r="60" spans="1:17" x14ac:dyDescent="0.2">
      <c r="A60" s="6"/>
      <c r="C60" s="66" t="s">
        <v>482</v>
      </c>
      <c r="D60" s="292">
        <f>(D59*($D$9/100))*-1</f>
        <v>0</v>
      </c>
      <c r="E60" s="292">
        <f>(E59*($D$9/100))*-1</f>
        <v>0</v>
      </c>
      <c r="F60" s="292">
        <f>(F59*($D$9/100))*-1</f>
        <v>0</v>
      </c>
      <c r="G60" s="292">
        <f t="shared" ref="G60:O60" si="8">(G59*($D$9/100))*-1</f>
        <v>0</v>
      </c>
      <c r="H60" s="292">
        <f t="shared" si="8"/>
        <v>0</v>
      </c>
      <c r="I60" s="292">
        <f t="shared" si="8"/>
        <v>0</v>
      </c>
      <c r="J60" s="292">
        <f t="shared" si="8"/>
        <v>0</v>
      </c>
      <c r="K60" s="292">
        <f t="shared" si="8"/>
        <v>0</v>
      </c>
      <c r="L60" s="292">
        <f t="shared" si="8"/>
        <v>0</v>
      </c>
      <c r="M60" s="292">
        <f t="shared" si="8"/>
        <v>0</v>
      </c>
      <c r="N60" s="292">
        <f t="shared" si="8"/>
        <v>0</v>
      </c>
      <c r="O60" s="292">
        <f t="shared" si="8"/>
        <v>0</v>
      </c>
      <c r="P60" s="292">
        <f t="shared" si="2"/>
        <v>0</v>
      </c>
      <c r="Q60" s="7"/>
    </row>
    <row r="61" spans="1:17" x14ac:dyDescent="0.2">
      <c r="A61" s="6"/>
      <c r="C61" s="66" t="s">
        <v>483</v>
      </c>
      <c r="D61" s="292">
        <f t="shared" ref="D61:O61" si="9">(D59+(D60))</f>
        <v>82537.5</v>
      </c>
      <c r="E61" s="292">
        <f t="shared" si="9"/>
        <v>-81970.833333333343</v>
      </c>
      <c r="F61" s="292">
        <f t="shared" si="9"/>
        <v>4168.833333333343</v>
      </c>
      <c r="G61" s="292">
        <f t="shared" si="9"/>
        <v>5210.5</v>
      </c>
      <c r="H61" s="292">
        <f t="shared" si="9"/>
        <v>205452.16666666666</v>
      </c>
      <c r="I61" s="292">
        <f t="shared" si="9"/>
        <v>-551088.16666666663</v>
      </c>
      <c r="J61" s="292">
        <f t="shared" si="9"/>
        <v>209335.5</v>
      </c>
      <c r="K61" s="292">
        <f t="shared" si="9"/>
        <v>208577.16666666666</v>
      </c>
      <c r="L61" s="292">
        <f t="shared" si="9"/>
        <v>10418.833333333328</v>
      </c>
      <c r="M61" s="292">
        <f t="shared" si="9"/>
        <v>11460.5</v>
      </c>
      <c r="N61" s="292">
        <f t="shared" si="9"/>
        <v>10702.166666666672</v>
      </c>
      <c r="O61" s="292">
        <f t="shared" si="9"/>
        <v>-602188.16666666663</v>
      </c>
      <c r="P61" s="292">
        <f t="shared" si="2"/>
        <v>-487384</v>
      </c>
      <c r="Q61" s="7"/>
    </row>
    <row r="62" spans="1:17" ht="13.5" thickBot="1" x14ac:dyDescent="0.25">
      <c r="A62" s="6"/>
      <c r="C62" s="311" t="s">
        <v>475</v>
      </c>
      <c r="D62" s="301">
        <f>+($D$6/($D$8*12))*-1</f>
        <v>-83333.333333333328</v>
      </c>
      <c r="E62" s="301">
        <f>+($D$6/($D$8*12))*-1</f>
        <v>-83333.333333333328</v>
      </c>
      <c r="F62" s="301">
        <f>+($D$6/($D$8*12))*-1</f>
        <v>-83333.333333333328</v>
      </c>
      <c r="G62" s="301">
        <f t="shared" ref="G62:O62" si="10">+($D$6/($D$8*12))*-1</f>
        <v>-83333.333333333328</v>
      </c>
      <c r="H62" s="301">
        <f t="shared" si="10"/>
        <v>-83333.333333333328</v>
      </c>
      <c r="I62" s="301">
        <f t="shared" si="10"/>
        <v>-83333.333333333328</v>
      </c>
      <c r="J62" s="301">
        <f t="shared" si="10"/>
        <v>-83333.333333333328</v>
      </c>
      <c r="K62" s="301">
        <f t="shared" si="10"/>
        <v>-83333.333333333328</v>
      </c>
      <c r="L62" s="301">
        <f t="shared" si="10"/>
        <v>-83333.333333333328</v>
      </c>
      <c r="M62" s="301">
        <f t="shared" si="10"/>
        <v>-83333.333333333328</v>
      </c>
      <c r="N62" s="301">
        <f t="shared" si="10"/>
        <v>-83333.333333333328</v>
      </c>
      <c r="O62" s="301">
        <f t="shared" si="10"/>
        <v>-83333.333333333328</v>
      </c>
      <c r="P62" s="301">
        <f t="shared" si="2"/>
        <v>-1000000.0000000001</v>
      </c>
      <c r="Q62" s="7"/>
    </row>
    <row r="63" spans="1:17" ht="13.5" thickBot="1" x14ac:dyDescent="0.25">
      <c r="A63" s="6"/>
      <c r="C63" s="258" t="s">
        <v>484</v>
      </c>
      <c r="D63" s="313">
        <f t="shared" ref="D63:O63" si="11">(D57+D60+D62)</f>
        <v>-795.83333333332848</v>
      </c>
      <c r="E63" s="313">
        <f t="shared" si="11"/>
        <v>-165304.16666666669</v>
      </c>
      <c r="F63" s="313">
        <f t="shared" si="11"/>
        <v>-79164.499999999985</v>
      </c>
      <c r="G63" s="313">
        <f t="shared" si="11"/>
        <v>-78122.833333333328</v>
      </c>
      <c r="H63" s="313">
        <f t="shared" si="11"/>
        <v>122118.83333333333</v>
      </c>
      <c r="I63" s="313">
        <f t="shared" si="11"/>
        <v>-53689.499999999956</v>
      </c>
      <c r="J63" s="313">
        <f t="shared" si="11"/>
        <v>126002.16666666667</v>
      </c>
      <c r="K63" s="313">
        <f t="shared" si="11"/>
        <v>125243.83333333333</v>
      </c>
      <c r="L63" s="313">
        <f t="shared" si="11"/>
        <v>-72914.5</v>
      </c>
      <c r="M63" s="313">
        <f t="shared" si="11"/>
        <v>-71872.833333333328</v>
      </c>
      <c r="N63" s="313">
        <f t="shared" si="11"/>
        <v>-72631.166666666657</v>
      </c>
      <c r="O63" s="313">
        <f t="shared" si="11"/>
        <v>-104789.5</v>
      </c>
      <c r="P63" s="314">
        <f t="shared" si="2"/>
        <v>-325919.99999999988</v>
      </c>
      <c r="Q63" s="7"/>
    </row>
    <row r="64" spans="1:17" x14ac:dyDescent="0.2">
      <c r="A64" s="6"/>
      <c r="C64" s="265" t="s">
        <v>486</v>
      </c>
      <c r="D64" s="291">
        <v>0</v>
      </c>
      <c r="E64" s="291">
        <f>(D65)</f>
        <v>-795.83333333332848</v>
      </c>
      <c r="F64" s="291">
        <f>(E65)</f>
        <v>-166100</v>
      </c>
      <c r="G64" s="291">
        <f t="shared" ref="G64:O64" si="12">(F65)</f>
        <v>-245264.5</v>
      </c>
      <c r="H64" s="291">
        <f t="shared" si="12"/>
        <v>-323387.33333333331</v>
      </c>
      <c r="I64" s="291">
        <f t="shared" si="12"/>
        <v>-201268.5</v>
      </c>
      <c r="J64" s="291">
        <f t="shared" si="12"/>
        <v>-254957.99999999994</v>
      </c>
      <c r="K64" s="291">
        <f t="shared" si="12"/>
        <v>-128955.83333333327</v>
      </c>
      <c r="L64" s="291">
        <f t="shared" si="12"/>
        <v>-3711.9999999999418</v>
      </c>
      <c r="M64" s="291">
        <f t="shared" si="12"/>
        <v>-76626.499999999942</v>
      </c>
      <c r="N64" s="291">
        <f t="shared" si="12"/>
        <v>-148499.33333333326</v>
      </c>
      <c r="O64" s="291">
        <f t="shared" si="12"/>
        <v>-221130.49999999991</v>
      </c>
      <c r="P64" s="46"/>
      <c r="Q64" s="7"/>
    </row>
    <row r="65" spans="1:17" ht="13.5" thickBot="1" x14ac:dyDescent="0.25">
      <c r="A65" s="6"/>
      <c r="C65" s="317" t="s">
        <v>487</v>
      </c>
      <c r="D65" s="301">
        <f>(D63+D64)</f>
        <v>-795.83333333332848</v>
      </c>
      <c r="E65" s="301">
        <f t="shared" ref="E65:O65" si="13">(E63+E64)</f>
        <v>-166100</v>
      </c>
      <c r="F65" s="301">
        <f t="shared" si="13"/>
        <v>-245264.5</v>
      </c>
      <c r="G65" s="301">
        <f t="shared" si="13"/>
        <v>-323387.33333333331</v>
      </c>
      <c r="H65" s="301">
        <f t="shared" si="13"/>
        <v>-201268.5</v>
      </c>
      <c r="I65" s="301">
        <f t="shared" si="13"/>
        <v>-254957.99999999994</v>
      </c>
      <c r="J65" s="301">
        <f t="shared" si="13"/>
        <v>-128955.83333333327</v>
      </c>
      <c r="K65" s="301">
        <f t="shared" si="13"/>
        <v>-3711.9999999999418</v>
      </c>
      <c r="L65" s="301">
        <f t="shared" si="13"/>
        <v>-76626.499999999942</v>
      </c>
      <c r="M65" s="301">
        <f t="shared" si="13"/>
        <v>-148499.33333333326</v>
      </c>
      <c r="N65" s="301">
        <f t="shared" si="13"/>
        <v>-221130.49999999991</v>
      </c>
      <c r="O65" s="301">
        <f t="shared" si="13"/>
        <v>-325919.99999999988</v>
      </c>
      <c r="P65" s="301">
        <f>(O65)*1.15</f>
        <v>-374807.99999999983</v>
      </c>
      <c r="Q65" s="7"/>
    </row>
    <row r="66" spans="1:17" x14ac:dyDescent="0.2">
      <c r="A66" s="6"/>
      <c r="C66" s="272" t="s">
        <v>489</v>
      </c>
      <c r="D66" s="318">
        <f>(D60)</f>
        <v>0</v>
      </c>
      <c r="E66" s="318">
        <f>(D66+E60)</f>
        <v>0</v>
      </c>
      <c r="F66" s="318">
        <f t="shared" ref="F66:O66" si="14">(E66+F60)</f>
        <v>0</v>
      </c>
      <c r="G66" s="318">
        <f t="shared" si="14"/>
        <v>0</v>
      </c>
      <c r="H66" s="318">
        <f t="shared" si="14"/>
        <v>0</v>
      </c>
      <c r="I66" s="318">
        <f t="shared" si="14"/>
        <v>0</v>
      </c>
      <c r="J66" s="318">
        <f t="shared" si="14"/>
        <v>0</v>
      </c>
      <c r="K66" s="318">
        <f t="shared" si="14"/>
        <v>0</v>
      </c>
      <c r="L66" s="318">
        <f t="shared" si="14"/>
        <v>0</v>
      </c>
      <c r="M66" s="318">
        <f t="shared" si="14"/>
        <v>0</v>
      </c>
      <c r="N66" s="318">
        <f t="shared" si="14"/>
        <v>0</v>
      </c>
      <c r="O66" s="318">
        <f t="shared" si="14"/>
        <v>0</v>
      </c>
      <c r="P66" s="319">
        <f>(O66)</f>
        <v>0</v>
      </c>
      <c r="Q66" s="7"/>
    </row>
    <row r="67" spans="1:17" ht="13.5" thickBot="1" x14ac:dyDescent="0.25">
      <c r="A67" s="6"/>
      <c r="C67" s="257" t="s">
        <v>488</v>
      </c>
      <c r="D67" s="255"/>
      <c r="E67" s="255"/>
      <c r="F67" s="255"/>
      <c r="G67" s="255"/>
      <c r="H67" s="255"/>
      <c r="I67" s="320">
        <f>(P66/2)</f>
        <v>0</v>
      </c>
      <c r="J67" s="255"/>
      <c r="K67" s="255"/>
      <c r="L67" s="255"/>
      <c r="M67" s="255"/>
      <c r="N67" s="255"/>
      <c r="O67" s="320">
        <f>(O66-I67)</f>
        <v>0</v>
      </c>
      <c r="P67" s="323">
        <f>(O67+I67)</f>
        <v>0</v>
      </c>
      <c r="Q67" s="7"/>
    </row>
    <row r="68" spans="1:17" ht="13.5" thickBot="1" x14ac:dyDescent="0.25">
      <c r="A68" s="26"/>
      <c r="B68" s="27"/>
      <c r="C68" s="27"/>
      <c r="D68" s="31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</row>
    <row r="70" spans="1:17" x14ac:dyDescent="0.2">
      <c r="E70" s="296"/>
    </row>
  </sheetData>
  <phoneticPr fontId="0" type="noConversion"/>
  <pageMargins left="0.75" right="0.75" top="1" bottom="1" header="0.5" footer="0.5"/>
  <pageSetup paperSize="9" scale="5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8"/>
  <sheetViews>
    <sheetView workbookViewId="0">
      <selection activeCell="E8" sqref="E8"/>
    </sheetView>
  </sheetViews>
  <sheetFormatPr defaultRowHeight="12.75" x14ac:dyDescent="0.2"/>
  <cols>
    <col min="1" max="1" width="1" customWidth="1"/>
    <col min="2" max="2" width="1.7109375" customWidth="1"/>
    <col min="3" max="3" width="42.85546875" customWidth="1"/>
    <col min="4" max="16" width="13.7109375" customWidth="1"/>
    <col min="17" max="17" width="1.7109375" customWidth="1"/>
  </cols>
  <sheetData>
    <row r="1" spans="1:17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x14ac:dyDescent="0.2">
      <c r="A2" s="6"/>
      <c r="B2" s="24" t="s">
        <v>478</v>
      </c>
      <c r="C2" s="2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 t="s">
        <v>500</v>
      </c>
      <c r="Q2" s="7"/>
    </row>
    <row r="3" spans="1:17" ht="13.5" thickBot="1" x14ac:dyDescent="0.25">
      <c r="A3" s="6"/>
      <c r="Q3" s="7"/>
    </row>
    <row r="4" spans="1:17" ht="13.5" thickBot="1" x14ac:dyDescent="0.25">
      <c r="A4" s="6"/>
      <c r="C4" s="43" t="s">
        <v>461</v>
      </c>
      <c r="Q4" s="7"/>
    </row>
    <row r="5" spans="1:17" x14ac:dyDescent="0.2">
      <c r="A5" s="6"/>
      <c r="Q5" s="7"/>
    </row>
    <row r="6" spans="1:17" x14ac:dyDescent="0.2">
      <c r="A6" s="6"/>
      <c r="C6" s="88" t="s">
        <v>473</v>
      </c>
      <c r="D6" s="296">
        <f>('Cash Flow - Year 1'!D6+'Cash Flow - Year 1'!P62)</f>
        <v>2000000</v>
      </c>
      <c r="Q6" s="7"/>
    </row>
    <row r="7" spans="1:17" x14ac:dyDescent="0.2">
      <c r="A7" s="6"/>
      <c r="C7" s="88" t="s">
        <v>479</v>
      </c>
      <c r="D7">
        <v>15</v>
      </c>
      <c r="E7" s="348" t="s">
        <v>537</v>
      </c>
      <c r="Q7" s="7"/>
    </row>
    <row r="8" spans="1:17" x14ac:dyDescent="0.2">
      <c r="A8" s="6"/>
      <c r="C8" s="88" t="s">
        <v>485</v>
      </c>
      <c r="D8">
        <v>3</v>
      </c>
      <c r="Q8" s="7"/>
    </row>
    <row r="9" spans="1:17" x14ac:dyDescent="0.2">
      <c r="A9" s="6"/>
      <c r="C9" s="88" t="s">
        <v>476</v>
      </c>
      <c r="D9">
        <v>0</v>
      </c>
      <c r="Q9" s="7"/>
    </row>
    <row r="10" spans="1:17" x14ac:dyDescent="0.2">
      <c r="A10" s="6"/>
      <c r="C10" s="88"/>
      <c r="Q10" s="7"/>
    </row>
    <row r="11" spans="1:17" ht="13.5" thickBot="1" x14ac:dyDescent="0.25">
      <c r="A11" s="6"/>
      <c r="Q11" s="7"/>
    </row>
    <row r="12" spans="1:17" ht="13.5" thickBot="1" x14ac:dyDescent="0.25">
      <c r="A12" s="6"/>
      <c r="C12" s="258" t="s">
        <v>234</v>
      </c>
      <c r="D12" s="281" t="s">
        <v>388</v>
      </c>
      <c r="E12" s="281" t="s">
        <v>389</v>
      </c>
      <c r="F12" s="281" t="s">
        <v>390</v>
      </c>
      <c r="G12" s="281" t="s">
        <v>391</v>
      </c>
      <c r="H12" s="281" t="s">
        <v>392</v>
      </c>
      <c r="I12" s="281" t="s">
        <v>393</v>
      </c>
      <c r="J12" s="281" t="s">
        <v>394</v>
      </c>
      <c r="K12" s="281" t="s">
        <v>395</v>
      </c>
      <c r="L12" s="281" t="s">
        <v>396</v>
      </c>
      <c r="M12" s="281" t="s">
        <v>397</v>
      </c>
      <c r="N12" s="281" t="s">
        <v>398</v>
      </c>
      <c r="O12" s="293" t="s">
        <v>399</v>
      </c>
      <c r="P12" s="294" t="s">
        <v>78</v>
      </c>
      <c r="Q12" s="7"/>
    </row>
    <row r="13" spans="1:17" x14ac:dyDescent="0.2">
      <c r="A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22"/>
      <c r="Q13" s="7"/>
    </row>
    <row r="14" spans="1:17" x14ac:dyDescent="0.2">
      <c r="A14" s="6"/>
      <c r="C14" s="295" t="s">
        <v>462</v>
      </c>
      <c r="D14" s="1">
        <f>(D15*D16)</f>
        <v>120600</v>
      </c>
      <c r="E14" s="1">
        <f>(E15*E16)</f>
        <v>100500</v>
      </c>
      <c r="F14" s="1">
        <f>(F15*F16)</f>
        <v>100500</v>
      </c>
      <c r="G14" s="1">
        <f t="shared" ref="G14:O14" si="0">(G15*G16)</f>
        <v>100500</v>
      </c>
      <c r="H14" s="1">
        <f t="shared" si="0"/>
        <v>301500</v>
      </c>
      <c r="I14" s="1">
        <f t="shared" si="0"/>
        <v>301500</v>
      </c>
      <c r="J14" s="1">
        <f t="shared" si="0"/>
        <v>301500</v>
      </c>
      <c r="K14" s="1">
        <f t="shared" si="0"/>
        <v>301500</v>
      </c>
      <c r="L14" s="1">
        <f t="shared" si="0"/>
        <v>100500</v>
      </c>
      <c r="M14" s="1">
        <f t="shared" si="0"/>
        <v>100500</v>
      </c>
      <c r="N14" s="1">
        <f t="shared" si="0"/>
        <v>100500</v>
      </c>
      <c r="O14" s="1">
        <f t="shared" si="0"/>
        <v>100500</v>
      </c>
      <c r="P14" s="312">
        <f>SUM(D14:O14)</f>
        <v>2030100</v>
      </c>
      <c r="Q14" s="7"/>
    </row>
    <row r="15" spans="1:17" x14ac:dyDescent="0.2">
      <c r="A15" s="6"/>
      <c r="C15" s="308" t="s">
        <v>463</v>
      </c>
      <c r="D15" s="300">
        <f>(Projections!E19)</f>
        <v>40200</v>
      </c>
      <c r="E15" s="300">
        <f>(Projections!F19)</f>
        <v>33500</v>
      </c>
      <c r="F15" s="300">
        <f>(Projections!G19)</f>
        <v>33500</v>
      </c>
      <c r="G15" s="300">
        <f>(Projections!H19)</f>
        <v>33500</v>
      </c>
      <c r="H15" s="300">
        <f>(Projections!I19)</f>
        <v>100500</v>
      </c>
      <c r="I15" s="300">
        <f>(Projections!J19)</f>
        <v>100500</v>
      </c>
      <c r="J15" s="300">
        <f>(Projections!K19)</f>
        <v>100500</v>
      </c>
      <c r="K15" s="300">
        <f>(Projections!L19)</f>
        <v>100500</v>
      </c>
      <c r="L15" s="300">
        <f>(Projections!M19)</f>
        <v>33500</v>
      </c>
      <c r="M15" s="300">
        <f>(Projections!N19)</f>
        <v>33500</v>
      </c>
      <c r="N15" s="300">
        <f>(Projections!O19)</f>
        <v>33500</v>
      </c>
      <c r="O15" s="300">
        <f>(Projections!P19)</f>
        <v>33500</v>
      </c>
      <c r="P15" s="301">
        <f>SUM(D15:O15)</f>
        <v>676700</v>
      </c>
      <c r="Q15" s="7"/>
    </row>
    <row r="16" spans="1:17" x14ac:dyDescent="0.2">
      <c r="A16" s="6"/>
      <c r="C16" s="309" t="s">
        <v>464</v>
      </c>
      <c r="D16" s="61">
        <f>(Projections!$D$7)</f>
        <v>3</v>
      </c>
      <c r="E16" s="61">
        <f>(Projections!$D$7)</f>
        <v>3</v>
      </c>
      <c r="F16" s="61">
        <f>(Projections!$D$7)</f>
        <v>3</v>
      </c>
      <c r="G16" s="61">
        <f>(Projections!$D$7)</f>
        <v>3</v>
      </c>
      <c r="H16" s="61">
        <f>(Projections!$D$7)</f>
        <v>3</v>
      </c>
      <c r="I16" s="61">
        <f>(Projections!$D$7)</f>
        <v>3</v>
      </c>
      <c r="J16" s="61">
        <f>(Projections!$D$7)</f>
        <v>3</v>
      </c>
      <c r="K16" s="61">
        <f>(Projections!$D$7)</f>
        <v>3</v>
      </c>
      <c r="L16" s="61">
        <f>(Projections!$D$7)</f>
        <v>3</v>
      </c>
      <c r="M16" s="61">
        <f>(Projections!$D$7)</f>
        <v>3</v>
      </c>
      <c r="N16" s="61">
        <f>(Projections!$D$7)</f>
        <v>3</v>
      </c>
      <c r="O16" s="61">
        <f>(Projections!$D$7)</f>
        <v>3</v>
      </c>
      <c r="P16" s="291"/>
      <c r="Q16" s="7"/>
    </row>
    <row r="17" spans="1:17" x14ac:dyDescent="0.2">
      <c r="A17" s="6"/>
      <c r="C17" s="297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96"/>
      <c r="Q17" s="7"/>
    </row>
    <row r="18" spans="1:17" x14ac:dyDescent="0.2">
      <c r="A18" s="6"/>
      <c r="C18" s="1" t="s">
        <v>465</v>
      </c>
      <c r="P18" s="296"/>
      <c r="Q18" s="7"/>
    </row>
    <row r="19" spans="1:17" x14ac:dyDescent="0.2">
      <c r="A19" s="6"/>
      <c r="C19" s="298" t="s">
        <v>412</v>
      </c>
      <c r="D19" s="312">
        <f>SUM(D20:D35)</f>
        <v>0</v>
      </c>
      <c r="E19" s="312">
        <f>SUM(E20:E35)</f>
        <v>0</v>
      </c>
      <c r="F19" s="312">
        <f>SUM(F20:F35)</f>
        <v>0</v>
      </c>
      <c r="G19" s="312">
        <f t="shared" ref="G19:O19" si="1">SUM(G20:G35)</f>
        <v>0</v>
      </c>
      <c r="H19" s="312">
        <f t="shared" si="1"/>
        <v>0</v>
      </c>
      <c r="I19" s="312">
        <f t="shared" si="1"/>
        <v>0</v>
      </c>
      <c r="J19" s="312">
        <f t="shared" si="1"/>
        <v>0</v>
      </c>
      <c r="K19" s="312">
        <f t="shared" si="1"/>
        <v>0</v>
      </c>
      <c r="L19" s="312">
        <f t="shared" si="1"/>
        <v>0</v>
      </c>
      <c r="M19" s="312">
        <f t="shared" si="1"/>
        <v>0</v>
      </c>
      <c r="N19" s="312">
        <f t="shared" si="1"/>
        <v>0</v>
      </c>
      <c r="O19" s="312">
        <f t="shared" si="1"/>
        <v>0</v>
      </c>
      <c r="P19" s="315">
        <f t="shared" ref="P19:P63" si="2">SUM(D19:O19)</f>
        <v>0</v>
      </c>
      <c r="Q19" s="7"/>
    </row>
    <row r="20" spans="1:17" x14ac:dyDescent="0.2">
      <c r="A20" s="6"/>
      <c r="C20" s="340" t="s">
        <v>415</v>
      </c>
      <c r="D20" s="301">
        <v>0</v>
      </c>
      <c r="E20" s="342">
        <f>(Projections!$D$30*(Projections!F30/100))*-1</f>
        <v>0</v>
      </c>
      <c r="F20" s="301">
        <f>(Projections!$D$30*(Projections!G30/100))*-1</f>
        <v>0</v>
      </c>
      <c r="G20" s="301">
        <f>(Projections!$D$30*(Projections!H30/100))*-1</f>
        <v>0</v>
      </c>
      <c r="H20" s="301">
        <f>(Projections!$D$30*(Projections!I30/100))*-1</f>
        <v>0</v>
      </c>
      <c r="I20" s="301">
        <f>(Projections!$D$30*(Projections!J30/100))*-1</f>
        <v>0</v>
      </c>
      <c r="J20" s="301">
        <f>(Projections!$D$30*(Projections!K30/100))*-1</f>
        <v>0</v>
      </c>
      <c r="K20" s="301">
        <f>(Projections!$D$30*(Projections!L30/100))*-1</f>
        <v>0</v>
      </c>
      <c r="L20" s="301">
        <f>(Projections!$D$30*(Projections!M30/100))*-1</f>
        <v>0</v>
      </c>
      <c r="M20" s="301">
        <f>(Projections!$D$30*(Projections!N30/100))*-1</f>
        <v>0</v>
      </c>
      <c r="N20" s="301">
        <f>(Projections!$D$30*(Projections!O30/100))*-1</f>
        <v>0</v>
      </c>
      <c r="O20" s="301">
        <f>(Projections!$D$30*(Projections!P30/100))*-1</f>
        <v>0</v>
      </c>
      <c r="P20" s="290">
        <f t="shared" si="2"/>
        <v>0</v>
      </c>
      <c r="Q20" s="7"/>
    </row>
    <row r="21" spans="1:17" x14ac:dyDescent="0.2">
      <c r="A21" s="6"/>
      <c r="C21" s="336" t="s">
        <v>416</v>
      </c>
      <c r="D21" s="290">
        <v>0</v>
      </c>
      <c r="E21" s="339">
        <f>(Projections!$D$31*(Projections!F31/100))*-1</f>
        <v>0</v>
      </c>
      <c r="F21" s="290">
        <f>(Projections!$D$31*(Projections!G31/100))*-1</f>
        <v>0</v>
      </c>
      <c r="G21" s="290">
        <f>(Projections!$D$31*(Projections!H31/100))*-1</f>
        <v>0</v>
      </c>
      <c r="H21" s="290">
        <f>(Projections!$D$31*(Projections!I31/100))*-1</f>
        <v>0</v>
      </c>
      <c r="I21" s="290">
        <f>(Projections!$D$31*(Projections!J31/100))*-1</f>
        <v>0</v>
      </c>
      <c r="J21" s="290">
        <f>(Projections!$D$31*(Projections!K31/100))*-1</f>
        <v>0</v>
      </c>
      <c r="K21" s="290">
        <f>(Projections!$D$31*(Projections!L31/100))*-1</f>
        <v>0</v>
      </c>
      <c r="L21" s="290">
        <f>(Projections!$D$31*(Projections!M31/100))*-1</f>
        <v>0</v>
      </c>
      <c r="M21" s="290">
        <f>(Projections!$D$31*(Projections!N31/100))*-1</f>
        <v>0</v>
      </c>
      <c r="N21" s="290">
        <f>(Projections!$D$31*(Projections!O31/100))*-1</f>
        <v>0</v>
      </c>
      <c r="O21" s="290">
        <f>(Projections!$D$31*(Projections!P31/100))*-1</f>
        <v>0</v>
      </c>
      <c r="P21" s="290">
        <f t="shared" si="2"/>
        <v>0</v>
      </c>
      <c r="Q21" s="7"/>
    </row>
    <row r="22" spans="1:17" x14ac:dyDescent="0.2">
      <c r="A22" s="6"/>
      <c r="C22" s="336" t="s">
        <v>418</v>
      </c>
      <c r="D22" s="290">
        <v>0</v>
      </c>
      <c r="E22" s="339">
        <f>(Projections!$D$32*(Projections!F32/100))*-1</f>
        <v>0</v>
      </c>
      <c r="F22" s="290">
        <f>(Projections!$D$32*(Projections!G32/100))*-1</f>
        <v>0</v>
      </c>
      <c r="G22" s="290">
        <f>(Projections!$D$32*(Projections!H32/100))*-1</f>
        <v>0</v>
      </c>
      <c r="H22" s="290">
        <f>(Projections!$D$32*(Projections!I32/100))*-1</f>
        <v>0</v>
      </c>
      <c r="I22" s="290">
        <f>(Projections!$D$32*(Projections!J32/100))*-1</f>
        <v>0</v>
      </c>
      <c r="J22" s="290">
        <f>(Projections!$D$32*(Projections!K32/100))*-1</f>
        <v>0</v>
      </c>
      <c r="K22" s="290">
        <f>(Projections!$D$32*(Projections!L32/100))*-1</f>
        <v>0</v>
      </c>
      <c r="L22" s="290">
        <f>(Projections!$D$32*(Projections!M32/100))*-1</f>
        <v>0</v>
      </c>
      <c r="M22" s="290">
        <f>(Projections!$D$32*(Projections!N32/100))*-1</f>
        <v>0</v>
      </c>
      <c r="N22" s="290">
        <f>(Projections!$D$32*(Projections!O32/100))*-1</f>
        <v>0</v>
      </c>
      <c r="O22" s="290">
        <f>(Projections!$D$32*(Projections!P32/100))*-1</f>
        <v>0</v>
      </c>
      <c r="P22" s="290">
        <f t="shared" si="2"/>
        <v>0</v>
      </c>
      <c r="Q22" s="7"/>
    </row>
    <row r="23" spans="1:17" x14ac:dyDescent="0.2">
      <c r="A23" s="6"/>
      <c r="C23" s="336" t="s">
        <v>417</v>
      </c>
      <c r="D23" s="290">
        <v>0</v>
      </c>
      <c r="E23" s="339">
        <f>(Projections!$D$33*(Projections!F33/100))*-1</f>
        <v>0</v>
      </c>
      <c r="F23" s="290">
        <f>(Projections!$D$33*(Projections!G33/100))*-1</f>
        <v>0</v>
      </c>
      <c r="G23" s="290">
        <f>(Projections!$D$33*(Projections!H33/100))*-1</f>
        <v>0</v>
      </c>
      <c r="H23" s="290">
        <f>(Projections!$D$33*(Projections!I33/100))*-1</f>
        <v>0</v>
      </c>
      <c r="I23" s="290">
        <f>(Projections!$D$33*(Projections!J33/100))*-1</f>
        <v>0</v>
      </c>
      <c r="J23" s="290">
        <f>(Projections!$D$33*(Projections!K33/100))*-1</f>
        <v>0</v>
      </c>
      <c r="K23" s="290">
        <f>(Projections!$D$33*(Projections!L33/100))*-1</f>
        <v>0</v>
      </c>
      <c r="L23" s="290">
        <f>(Projections!$D$33*(Projections!M33/100))*-1</f>
        <v>0</v>
      </c>
      <c r="M23" s="290">
        <f>(Projections!$D$33*(Projections!N33/100))*-1</f>
        <v>0</v>
      </c>
      <c r="N23" s="290">
        <f>(Projections!$D$33*(Projections!O33/100))*-1</f>
        <v>0</v>
      </c>
      <c r="O23" s="290">
        <f>(Projections!$D$33*(Projections!P33/100))*-1</f>
        <v>0</v>
      </c>
      <c r="P23" s="290">
        <f t="shared" si="2"/>
        <v>0</v>
      </c>
      <c r="Q23" s="7"/>
    </row>
    <row r="24" spans="1:17" x14ac:dyDescent="0.2">
      <c r="A24" s="6"/>
      <c r="C24" s="336" t="s">
        <v>419</v>
      </c>
      <c r="D24" s="290">
        <v>0</v>
      </c>
      <c r="E24" s="339">
        <f>(Projections!$D$34*(Projections!F34/100))*-1</f>
        <v>0</v>
      </c>
      <c r="F24" s="290">
        <f>(Projections!$D$34*(Projections!G34/100))*-1</f>
        <v>0</v>
      </c>
      <c r="G24" s="290">
        <f>(Projections!$D$34*(Projections!H34/100))*-1</f>
        <v>0</v>
      </c>
      <c r="H24" s="290">
        <f>(Projections!$D$34*(Projections!I34/100))*-1</f>
        <v>0</v>
      </c>
      <c r="I24" s="290">
        <f>(Projections!$D$34*(Projections!J34/100))*-1</f>
        <v>0</v>
      </c>
      <c r="J24" s="290">
        <f>(Projections!$D$34*(Projections!K34/100))*-1</f>
        <v>0</v>
      </c>
      <c r="K24" s="290">
        <f>(Projections!$D$34*(Projections!L34/100))*-1</f>
        <v>0</v>
      </c>
      <c r="L24" s="290">
        <f>(Projections!$D$34*(Projections!M34/100))*-1</f>
        <v>0</v>
      </c>
      <c r="M24" s="290">
        <f>(Projections!$D$34*(Projections!N34/100))*-1</f>
        <v>0</v>
      </c>
      <c r="N24" s="290">
        <f>(Projections!$D$34*(Projections!O34/100))*-1</f>
        <v>0</v>
      </c>
      <c r="O24" s="290">
        <f>(Projections!$D$34*(Projections!P34/100))*-1</f>
        <v>0</v>
      </c>
      <c r="P24" s="290">
        <f t="shared" si="2"/>
        <v>0</v>
      </c>
      <c r="Q24" s="7"/>
    </row>
    <row r="25" spans="1:17" x14ac:dyDescent="0.2">
      <c r="A25" s="6"/>
      <c r="C25" s="336" t="s">
        <v>420</v>
      </c>
      <c r="D25" s="290">
        <v>0</v>
      </c>
      <c r="E25" s="339">
        <f>(Projections!$D$35*(Projections!F35/100))*-1</f>
        <v>0</v>
      </c>
      <c r="F25" s="290">
        <f>(Projections!$D$35*(Projections!G35/100))*-1</f>
        <v>0</v>
      </c>
      <c r="G25" s="290">
        <f>(Projections!$D$35*(Projections!H35/100))*-1</f>
        <v>0</v>
      </c>
      <c r="H25" s="290">
        <f>(Projections!$D$35*(Projections!I35/100))*-1</f>
        <v>0</v>
      </c>
      <c r="I25" s="290">
        <f>(Projections!$D$35*(Projections!J35/100))*-1</f>
        <v>0</v>
      </c>
      <c r="J25" s="290">
        <f>(Projections!$D$35*(Projections!K35/100))*-1</f>
        <v>0</v>
      </c>
      <c r="K25" s="290">
        <f>(Projections!$D$35*(Projections!L35/100))*-1</f>
        <v>0</v>
      </c>
      <c r="L25" s="290">
        <f>(Projections!$D$35*(Projections!M35/100))*-1</f>
        <v>0</v>
      </c>
      <c r="M25" s="290">
        <f>(Projections!$D$35*(Projections!N35/100))*-1</f>
        <v>0</v>
      </c>
      <c r="N25" s="290">
        <f>(Projections!$D$35*(Projections!O35/100))*-1</f>
        <v>0</v>
      </c>
      <c r="O25" s="290">
        <f>(Projections!$D$35*(Projections!P35/100))*-1</f>
        <v>0</v>
      </c>
      <c r="P25" s="290">
        <f t="shared" si="2"/>
        <v>0</v>
      </c>
      <c r="Q25" s="7"/>
    </row>
    <row r="26" spans="1:17" x14ac:dyDescent="0.2">
      <c r="A26" s="6"/>
      <c r="C26" s="336" t="s">
        <v>421</v>
      </c>
      <c r="D26" s="290">
        <v>0</v>
      </c>
      <c r="E26" s="339">
        <f>(Projections!$D$36*(Projections!F36/100))*-1</f>
        <v>0</v>
      </c>
      <c r="F26" s="290">
        <f>(Projections!$D$36*(Projections!G36/100))*-1</f>
        <v>0</v>
      </c>
      <c r="G26" s="290">
        <f>(Projections!$D$36*(Projections!H36/100))*-1</f>
        <v>0</v>
      </c>
      <c r="H26" s="290">
        <f>(Projections!$D$36*(Projections!I36/100))*-1</f>
        <v>0</v>
      </c>
      <c r="I26" s="290">
        <f>(Projections!$D$36*(Projections!J36/100))*-1</f>
        <v>0</v>
      </c>
      <c r="J26" s="290">
        <f>(Projections!$D$36*(Projections!K36/100))*-1</f>
        <v>0</v>
      </c>
      <c r="K26" s="290">
        <f>(Projections!$D$36*(Projections!L36/100))*-1</f>
        <v>0</v>
      </c>
      <c r="L26" s="290">
        <f>(Projections!$D$36*(Projections!M36/100))*-1</f>
        <v>0</v>
      </c>
      <c r="M26" s="290">
        <f>(Projections!$D$36*(Projections!N36/100))*-1</f>
        <v>0</v>
      </c>
      <c r="N26" s="290">
        <f>(Projections!$D$36*(Projections!O36/100))*-1</f>
        <v>0</v>
      </c>
      <c r="O26" s="290">
        <f>(Projections!$D$36*(Projections!P36/100))*-1</f>
        <v>0</v>
      </c>
      <c r="P26" s="290">
        <f t="shared" si="2"/>
        <v>0</v>
      </c>
      <c r="Q26" s="7"/>
    </row>
    <row r="27" spans="1:17" x14ac:dyDescent="0.2">
      <c r="A27" s="6"/>
      <c r="C27" s="336" t="s">
        <v>422</v>
      </c>
      <c r="D27" s="290">
        <v>0</v>
      </c>
      <c r="E27" s="339">
        <f>(Projections!$D$37*(Projections!F37/100))*-1</f>
        <v>0</v>
      </c>
      <c r="F27" s="290">
        <f>(Projections!$D$37*(Projections!G37/100))*-1</f>
        <v>0</v>
      </c>
      <c r="G27" s="290">
        <f>(Projections!$D$37*(Projections!H37/100))*-1</f>
        <v>0</v>
      </c>
      <c r="H27" s="290">
        <f>(Projections!$D$37*(Projections!I37/100))*-1</f>
        <v>0</v>
      </c>
      <c r="I27" s="290">
        <f>(Projections!$D$37*(Projections!J37/100))*-1</f>
        <v>0</v>
      </c>
      <c r="J27" s="290">
        <f>(Projections!$D$37*(Projections!K37/100))*-1</f>
        <v>0</v>
      </c>
      <c r="K27" s="290">
        <f>(Projections!$D$37*(Projections!L37/100))*-1</f>
        <v>0</v>
      </c>
      <c r="L27" s="290">
        <f>(Projections!$D$37*(Projections!M37/100))*-1</f>
        <v>0</v>
      </c>
      <c r="M27" s="290">
        <f>(Projections!$D$37*(Projections!N37/100))*-1</f>
        <v>0</v>
      </c>
      <c r="N27" s="290">
        <f>(Projections!$D$37*(Projections!O37/100))*-1</f>
        <v>0</v>
      </c>
      <c r="O27" s="290">
        <f>(Projections!$D$37*(Projections!P37/100))*-1</f>
        <v>0</v>
      </c>
      <c r="P27" s="290">
        <f t="shared" si="2"/>
        <v>0</v>
      </c>
      <c r="Q27" s="7"/>
    </row>
    <row r="28" spans="1:17" x14ac:dyDescent="0.2">
      <c r="A28" s="6"/>
      <c r="C28" s="336" t="s">
        <v>423</v>
      </c>
      <c r="D28" s="290">
        <v>0</v>
      </c>
      <c r="E28" s="339">
        <f>(Projections!$D$38*(Projections!F38/100))*-1</f>
        <v>0</v>
      </c>
      <c r="F28" s="290">
        <f>(Projections!$D$38*(Projections!G38/100))*-1</f>
        <v>0</v>
      </c>
      <c r="G28" s="290">
        <f>(Projections!$D$38*(Projections!H38/100))*-1</f>
        <v>0</v>
      </c>
      <c r="H28" s="290">
        <f>(Projections!$D$38*(Projections!I38/100))*-1</f>
        <v>0</v>
      </c>
      <c r="I28" s="290">
        <f>(Projections!$D$38*(Projections!J38/100))*-1</f>
        <v>0</v>
      </c>
      <c r="J28" s="290">
        <f>(Projections!$D$38*(Projections!K38/100))*-1</f>
        <v>0</v>
      </c>
      <c r="K28" s="290">
        <f>(Projections!$D$38*(Projections!L38/100))*-1</f>
        <v>0</v>
      </c>
      <c r="L28" s="290">
        <f>(Projections!$D$38*(Projections!M38/100))*-1</f>
        <v>0</v>
      </c>
      <c r="M28" s="290">
        <f>(Projections!$D$38*(Projections!N38/100))*-1</f>
        <v>0</v>
      </c>
      <c r="N28" s="290">
        <f>(Projections!$D$38*(Projections!O38/100))*-1</f>
        <v>0</v>
      </c>
      <c r="O28" s="290">
        <f>(Projections!$D$38*(Projections!P38/100))*-1</f>
        <v>0</v>
      </c>
      <c r="P28" s="290">
        <f t="shared" si="2"/>
        <v>0</v>
      </c>
      <c r="Q28" s="7"/>
    </row>
    <row r="29" spans="1:17" x14ac:dyDescent="0.2">
      <c r="A29" s="6"/>
      <c r="C29" s="337" t="s">
        <v>424</v>
      </c>
      <c r="D29" s="290">
        <v>0</v>
      </c>
      <c r="E29" s="339">
        <f>(Projections!$D$39*(Projections!F39/100))*-1</f>
        <v>0</v>
      </c>
      <c r="F29" s="290">
        <f>(Projections!$D$39*(Projections!G39/100))*-1</f>
        <v>0</v>
      </c>
      <c r="G29" s="290">
        <f>(Projections!$D$39*(Projections!H39/100))*-1</f>
        <v>0</v>
      </c>
      <c r="H29" s="290">
        <f>(Projections!$D$39*(Projections!I39/100))*-1</f>
        <v>0</v>
      </c>
      <c r="I29" s="290">
        <f>(Projections!$D$39*(Projections!J39/100))*-1</f>
        <v>0</v>
      </c>
      <c r="J29" s="290">
        <f>(Projections!$D$39*(Projections!K39/100))*-1</f>
        <v>0</v>
      </c>
      <c r="K29" s="290">
        <f>(Projections!$D$39*(Projections!L39/100))*-1</f>
        <v>0</v>
      </c>
      <c r="L29" s="290">
        <f>(Projections!$D$39*(Projections!M39/100))*-1</f>
        <v>0</v>
      </c>
      <c r="M29" s="290">
        <f>(Projections!$D$39*(Projections!N39/100))*-1</f>
        <v>0</v>
      </c>
      <c r="N29" s="290">
        <f>(Projections!$D$39*(Projections!O39/100))*-1</f>
        <v>0</v>
      </c>
      <c r="O29" s="290">
        <f>(Projections!$D$39*(Projections!P39/100))*-1</f>
        <v>0</v>
      </c>
      <c r="P29" s="290">
        <f t="shared" si="2"/>
        <v>0</v>
      </c>
      <c r="Q29" s="7"/>
    </row>
    <row r="30" spans="1:17" x14ac:dyDescent="0.2">
      <c r="A30" s="6"/>
      <c r="C30" s="337" t="s">
        <v>425</v>
      </c>
      <c r="D30" s="290">
        <v>0</v>
      </c>
      <c r="E30" s="339">
        <f>(Projections!$D$40*(Projections!F40/100))*-1</f>
        <v>0</v>
      </c>
      <c r="F30" s="290">
        <f>(Projections!$D$40*(Projections!G40/100))*-1</f>
        <v>0</v>
      </c>
      <c r="G30" s="290">
        <f>(Projections!$D$40*(Projections!H40/100))*-1</f>
        <v>0</v>
      </c>
      <c r="H30" s="290">
        <f>(Projections!$D$40*(Projections!I40/100))*-1</f>
        <v>0</v>
      </c>
      <c r="I30" s="290">
        <f>(Projections!$D$40*(Projections!J40/100))*-1</f>
        <v>0</v>
      </c>
      <c r="J30" s="290">
        <f>(Projections!$D$40*(Projections!K40/100))*-1</f>
        <v>0</v>
      </c>
      <c r="K30" s="290">
        <f>(Projections!$D$40*(Projections!L40/100))*-1</f>
        <v>0</v>
      </c>
      <c r="L30" s="290">
        <f>(Projections!$D$40*(Projections!M40/100))*-1</f>
        <v>0</v>
      </c>
      <c r="M30" s="290">
        <f>(Projections!$D$40*(Projections!N40/100))*-1</f>
        <v>0</v>
      </c>
      <c r="N30" s="290">
        <f>(Projections!$D$40*(Projections!O40/100))*-1</f>
        <v>0</v>
      </c>
      <c r="O30" s="290">
        <f>(Projections!$D$40*(Projections!P40/100))*-1</f>
        <v>0</v>
      </c>
      <c r="P30" s="290">
        <f t="shared" si="2"/>
        <v>0</v>
      </c>
      <c r="Q30" s="7"/>
    </row>
    <row r="31" spans="1:17" x14ac:dyDescent="0.2">
      <c r="A31" s="6"/>
      <c r="C31" s="336" t="s">
        <v>426</v>
      </c>
      <c r="D31" s="290">
        <v>0</v>
      </c>
      <c r="E31" s="339">
        <f>(Projections!$D$41*(Projections!F41/100))*-1</f>
        <v>0</v>
      </c>
      <c r="F31" s="290">
        <f>(Projections!$D$41*(Projections!G41/100))*-1</f>
        <v>0</v>
      </c>
      <c r="G31" s="290">
        <f>(Projections!$D$41*(Projections!H41/100))*-1</f>
        <v>0</v>
      </c>
      <c r="H31" s="290">
        <f>(Projections!$D$41*(Projections!I41/100))*-1</f>
        <v>0</v>
      </c>
      <c r="I31" s="290">
        <f>(Projections!$D$41*(Projections!J41/100))*-1</f>
        <v>0</v>
      </c>
      <c r="J31" s="290">
        <f>(Projections!$D$41*(Projections!K41/100))*-1</f>
        <v>0</v>
      </c>
      <c r="K31" s="290">
        <f>(Projections!$D$41*(Projections!L41/100))*-1</f>
        <v>0</v>
      </c>
      <c r="L31" s="290">
        <f>(Projections!$D$41*(Projections!M41/100))*-1</f>
        <v>0</v>
      </c>
      <c r="M31" s="290">
        <f>(Projections!$D$41*(Projections!N41/100))*-1</f>
        <v>0</v>
      </c>
      <c r="N31" s="290">
        <f>(Projections!$D$41*(Projections!O41/100))*-1</f>
        <v>0</v>
      </c>
      <c r="O31" s="290">
        <f>(Projections!$D$41*(Projections!P41/100))*-1</f>
        <v>0</v>
      </c>
      <c r="P31" s="290">
        <f t="shared" si="2"/>
        <v>0</v>
      </c>
      <c r="Q31" s="7"/>
    </row>
    <row r="32" spans="1:17" x14ac:dyDescent="0.2">
      <c r="A32" s="6"/>
      <c r="C32" s="338" t="s">
        <v>466</v>
      </c>
      <c r="D32" s="290">
        <v>0</v>
      </c>
      <c r="E32" s="339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>
        <f t="shared" si="2"/>
        <v>0</v>
      </c>
      <c r="Q32" s="7"/>
    </row>
    <row r="33" spans="1:17" x14ac:dyDescent="0.2">
      <c r="A33" s="6"/>
      <c r="C33" s="338" t="s">
        <v>467</v>
      </c>
      <c r="D33" s="290">
        <v>0</v>
      </c>
      <c r="E33" s="339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>
        <f t="shared" si="2"/>
        <v>0</v>
      </c>
      <c r="Q33" s="7"/>
    </row>
    <row r="34" spans="1:17" x14ac:dyDescent="0.2">
      <c r="A34" s="6"/>
      <c r="C34" s="338" t="s">
        <v>468</v>
      </c>
      <c r="D34" s="290">
        <v>0</v>
      </c>
      <c r="E34" s="339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>
        <f t="shared" si="2"/>
        <v>0</v>
      </c>
      <c r="Q34" s="7"/>
    </row>
    <row r="35" spans="1:17" x14ac:dyDescent="0.2">
      <c r="A35" s="6"/>
      <c r="C35" s="341" t="s">
        <v>428</v>
      </c>
      <c r="D35" s="291">
        <v>0</v>
      </c>
      <c r="E35" s="343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>
        <f t="shared" si="2"/>
        <v>0</v>
      </c>
      <c r="Q35" s="7"/>
    </row>
    <row r="36" spans="1:17" x14ac:dyDescent="0.2">
      <c r="A36" s="6"/>
      <c r="C36" s="299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7"/>
    </row>
    <row r="37" spans="1:17" x14ac:dyDescent="0.2">
      <c r="A37" s="6"/>
      <c r="C37" s="298" t="s">
        <v>469</v>
      </c>
      <c r="D37" s="312">
        <f>SUM(D38:D49)</f>
        <v>-60352</v>
      </c>
      <c r="E37" s="312">
        <f>SUM(E38:E49)</f>
        <v>-60352</v>
      </c>
      <c r="F37" s="312">
        <f>SUM(F38:F49)</f>
        <v>-60352</v>
      </c>
      <c r="G37" s="312">
        <f t="shared" ref="G37:O37" si="3">SUM(G38:G49)</f>
        <v>-60352</v>
      </c>
      <c r="H37" s="312">
        <f t="shared" si="3"/>
        <v>-60352</v>
      </c>
      <c r="I37" s="312">
        <f t="shared" si="3"/>
        <v>-95352</v>
      </c>
      <c r="J37" s="312">
        <f t="shared" si="3"/>
        <v>-60352</v>
      </c>
      <c r="K37" s="312">
        <f t="shared" si="3"/>
        <v>-60352</v>
      </c>
      <c r="L37" s="312">
        <f t="shared" si="3"/>
        <v>-60352</v>
      </c>
      <c r="M37" s="312">
        <f t="shared" si="3"/>
        <v>-60352</v>
      </c>
      <c r="N37" s="312">
        <f t="shared" si="3"/>
        <v>-60352</v>
      </c>
      <c r="O37" s="312">
        <f t="shared" si="3"/>
        <v>-95352</v>
      </c>
      <c r="P37" s="315">
        <f t="shared" si="2"/>
        <v>-794224</v>
      </c>
      <c r="Q37" s="7"/>
    </row>
    <row r="38" spans="1:17" x14ac:dyDescent="0.2">
      <c r="A38" s="6"/>
      <c r="C38" s="304" t="s">
        <v>430</v>
      </c>
      <c r="D38" s="301">
        <f>(Projections!$D49*(Projections!E49/100))*-1</f>
        <v>0</v>
      </c>
      <c r="E38" s="301">
        <f>(Projections!$D49*(Projections!F49/100))*-1</f>
        <v>0</v>
      </c>
      <c r="F38" s="301">
        <f>(Projections!$D49*(Projections!G49/100))*-1</f>
        <v>0</v>
      </c>
      <c r="G38" s="301">
        <f>(Projections!$D49*(Projections!H49/100))*-1</f>
        <v>0</v>
      </c>
      <c r="H38" s="301">
        <f>(Projections!$D49*(Projections!I49/100))*-1</f>
        <v>0</v>
      </c>
      <c r="I38" s="301">
        <f>(Projections!$D49*(Projections!J49/100))*-1</f>
        <v>-20000</v>
      </c>
      <c r="J38" s="301">
        <f>(Projections!$D49*(Projections!K49/100))*-1</f>
        <v>0</v>
      </c>
      <c r="K38" s="301">
        <f>(Projections!$D49*(Projections!L49/100))*-1</f>
        <v>0</v>
      </c>
      <c r="L38" s="301">
        <f>(Projections!$D49*(Projections!M49/100))*-1</f>
        <v>0</v>
      </c>
      <c r="M38" s="301">
        <f>(Projections!$D49*(Projections!N49/100))*-1</f>
        <v>0</v>
      </c>
      <c r="N38" s="301">
        <f>(Projections!$D49*(Projections!O49/100))*-1</f>
        <v>0</v>
      </c>
      <c r="O38" s="301">
        <f>(Projections!$D49*(Projections!P49/100))*-1</f>
        <v>-20000</v>
      </c>
      <c r="P38" s="290">
        <f t="shared" si="2"/>
        <v>-40000</v>
      </c>
      <c r="Q38" s="7"/>
    </row>
    <row r="39" spans="1:17" x14ac:dyDescent="0.2">
      <c r="A39" s="6"/>
      <c r="C39" s="305" t="s">
        <v>431</v>
      </c>
      <c r="D39" s="290">
        <f>(Projections!$D50*(Projections!E50/100))*-1</f>
        <v>0</v>
      </c>
      <c r="E39" s="290">
        <f>(Projections!$D50*(Projections!F50/100))*-1</f>
        <v>0</v>
      </c>
      <c r="F39" s="290">
        <f>(Projections!$D50*(Projections!G50/100))*-1</f>
        <v>0</v>
      </c>
      <c r="G39" s="290">
        <f>(Projections!$D50*(Projections!H50/100))*-1</f>
        <v>0</v>
      </c>
      <c r="H39" s="290">
        <f>(Projections!$D50*(Projections!I50/100))*-1</f>
        <v>0</v>
      </c>
      <c r="I39" s="290">
        <f>(Projections!$D50*(Projections!J50/100))*-1</f>
        <v>-15000</v>
      </c>
      <c r="J39" s="290">
        <f>(Projections!$D50*(Projections!K50/100))*-1</f>
        <v>0</v>
      </c>
      <c r="K39" s="290">
        <f>(Projections!$D50*(Projections!L50/100))*-1</f>
        <v>0</v>
      </c>
      <c r="L39" s="290">
        <f>(Projections!$D50*(Projections!M50/100))*-1</f>
        <v>0</v>
      </c>
      <c r="M39" s="290">
        <f>(Projections!$D50*(Projections!N50/100))*-1</f>
        <v>0</v>
      </c>
      <c r="N39" s="290">
        <f>(Projections!$D50*(Projections!O50/100))*-1</f>
        <v>0</v>
      </c>
      <c r="O39" s="290">
        <f>(Projections!$D50*(Projections!P50/100))*-1</f>
        <v>-15000</v>
      </c>
      <c r="P39" s="290">
        <f t="shared" si="2"/>
        <v>-30000</v>
      </c>
      <c r="Q39" s="7"/>
    </row>
    <row r="40" spans="1:17" x14ac:dyDescent="0.2">
      <c r="A40" s="6"/>
      <c r="C40" s="306" t="s">
        <v>185</v>
      </c>
      <c r="D40" s="290">
        <f>(Projections!$D51*(Projections!E51/100))*-1</f>
        <v>-7680</v>
      </c>
      <c r="E40" s="290">
        <f>(Projections!$D51*(Projections!F51/100))*-1</f>
        <v>-7680</v>
      </c>
      <c r="F40" s="290">
        <f>(Projections!$D51*(Projections!G51/100))*-1</f>
        <v>-7680</v>
      </c>
      <c r="G40" s="290">
        <f>(Projections!$D51*(Projections!H51/100))*-1</f>
        <v>-7680</v>
      </c>
      <c r="H40" s="290">
        <f>(Projections!$D51*(Projections!I51/100))*-1</f>
        <v>-7680</v>
      </c>
      <c r="I40" s="290">
        <f>(Projections!$D51*(Projections!J51/100))*-1</f>
        <v>-7680</v>
      </c>
      <c r="J40" s="290">
        <f>(Projections!$D51*(Projections!K51/100))*-1</f>
        <v>-7680</v>
      </c>
      <c r="K40" s="290">
        <f>(Projections!$D51*(Projections!L51/100))*-1</f>
        <v>-7680</v>
      </c>
      <c r="L40" s="290">
        <f>(Projections!$D51*(Projections!M51/100))*-1</f>
        <v>-7680</v>
      </c>
      <c r="M40" s="290">
        <f>(Projections!$D51*(Projections!N51/100))*-1</f>
        <v>-7680</v>
      </c>
      <c r="N40" s="290">
        <f>(Projections!$D51*(Projections!O51/100))*-1</f>
        <v>-7680</v>
      </c>
      <c r="O40" s="290">
        <f>(Projections!$D51*(Projections!P51/100))*-1</f>
        <v>-7680</v>
      </c>
      <c r="P40" s="290">
        <f t="shared" si="2"/>
        <v>-92160</v>
      </c>
      <c r="Q40" s="7"/>
    </row>
    <row r="41" spans="1:17" x14ac:dyDescent="0.2">
      <c r="A41" s="6"/>
      <c r="C41" s="306" t="s">
        <v>186</v>
      </c>
      <c r="D41" s="290">
        <f>(Projections!$D$52*(Projections!E52/100))*-1</f>
        <v>-640</v>
      </c>
      <c r="E41" s="290">
        <f>(Projections!$D$52*(Projections!F52/100))*-1</f>
        <v>-640</v>
      </c>
      <c r="F41" s="290">
        <f>(Projections!$D$52*(Projections!G52/100))*-1</f>
        <v>-640</v>
      </c>
      <c r="G41" s="290">
        <f>(Projections!$D$52*(Projections!H52/100))*-1</f>
        <v>-640</v>
      </c>
      <c r="H41" s="290">
        <f>(Projections!$D$52*(Projections!I52/100))*-1</f>
        <v>-640</v>
      </c>
      <c r="I41" s="290">
        <f>(Projections!$D$52*(Projections!J52/100))*-1</f>
        <v>-640</v>
      </c>
      <c r="J41" s="290">
        <f>(Projections!$D$52*(Projections!K52/100))*-1</f>
        <v>-640</v>
      </c>
      <c r="K41" s="290">
        <f>(Projections!$D$52*(Projections!L52/100))*-1</f>
        <v>-640</v>
      </c>
      <c r="L41" s="290">
        <f>(Projections!$D$52*(Projections!M52/100))*-1</f>
        <v>-640</v>
      </c>
      <c r="M41" s="290">
        <f>(Projections!$D$52*(Projections!N52/100))*-1</f>
        <v>-640</v>
      </c>
      <c r="N41" s="290">
        <f>(Projections!$D$52*(Projections!O52/100))*-1</f>
        <v>-640</v>
      </c>
      <c r="O41" s="290">
        <f>(Projections!$D$52*(Projections!P52/100))*-1</f>
        <v>-640</v>
      </c>
      <c r="P41" s="290">
        <f t="shared" si="2"/>
        <v>-7680</v>
      </c>
      <c r="Q41" s="7"/>
    </row>
    <row r="42" spans="1:17" x14ac:dyDescent="0.2">
      <c r="A42" s="6"/>
      <c r="C42" s="306" t="s">
        <v>187</v>
      </c>
      <c r="D42" s="290">
        <f>(Projections!$D$53*(Projections!E53/100))*-1</f>
        <v>-960</v>
      </c>
      <c r="E42" s="290">
        <f>(Projections!$D$53*(Projections!F53/100))*-1</f>
        <v>-960</v>
      </c>
      <c r="F42" s="290">
        <f>(Projections!$D$53*(Projections!G53/100))*-1</f>
        <v>-960</v>
      </c>
      <c r="G42" s="290">
        <f>(Projections!$D$53*(Projections!H53/100))*-1</f>
        <v>-960</v>
      </c>
      <c r="H42" s="290">
        <f>(Projections!$D$53*(Projections!I53/100))*-1</f>
        <v>-960</v>
      </c>
      <c r="I42" s="290">
        <f>(Projections!$D$53*(Projections!J53/100))*-1</f>
        <v>-960</v>
      </c>
      <c r="J42" s="290">
        <f>(Projections!$D$53*(Projections!K53/100))*-1</f>
        <v>-960</v>
      </c>
      <c r="K42" s="290">
        <f>(Projections!$D$53*(Projections!L53/100))*-1</f>
        <v>-960</v>
      </c>
      <c r="L42" s="290">
        <f>(Projections!$D$53*(Projections!M53/100))*-1</f>
        <v>-960</v>
      </c>
      <c r="M42" s="290">
        <f>(Projections!$D$53*(Projections!N53/100))*-1</f>
        <v>-960</v>
      </c>
      <c r="N42" s="290">
        <f>(Projections!$D$53*(Projections!O53/100))*-1</f>
        <v>-960</v>
      </c>
      <c r="O42" s="290">
        <f>(Projections!$D$53*(Projections!P53/100))*-1</f>
        <v>-960</v>
      </c>
      <c r="P42" s="290">
        <f t="shared" si="2"/>
        <v>-11520</v>
      </c>
      <c r="Q42" s="7"/>
    </row>
    <row r="43" spans="1:17" x14ac:dyDescent="0.2">
      <c r="A43" s="6"/>
      <c r="C43" s="306" t="s">
        <v>191</v>
      </c>
      <c r="D43" s="290">
        <f>(Projections!$D$54*(Projections!E54/100))*-1</f>
        <v>-1152</v>
      </c>
      <c r="E43" s="290">
        <f>(Projections!$D$54*(Projections!F54/100))*-1</f>
        <v>-1152</v>
      </c>
      <c r="F43" s="290">
        <f>(Projections!$D$54*(Projections!G54/100))*-1</f>
        <v>-1152</v>
      </c>
      <c r="G43" s="290">
        <f>(Projections!$D$54*(Projections!H54/100))*-1</f>
        <v>-1152</v>
      </c>
      <c r="H43" s="290">
        <f>(Projections!$D$54*(Projections!I54/100))*-1</f>
        <v>-1152</v>
      </c>
      <c r="I43" s="290">
        <f>(Projections!$D$54*(Projections!J54/100))*-1</f>
        <v>-1152</v>
      </c>
      <c r="J43" s="290">
        <f>(Projections!$D$54*(Projections!K54/100))*-1</f>
        <v>-1152</v>
      </c>
      <c r="K43" s="290">
        <f>(Projections!$D$54*(Projections!L54/100))*-1</f>
        <v>-1152</v>
      </c>
      <c r="L43" s="290">
        <f>(Projections!$D$54*(Projections!M54/100))*-1</f>
        <v>-1152</v>
      </c>
      <c r="M43" s="290">
        <f>(Projections!$D$54*(Projections!N54/100))*-1</f>
        <v>-1152</v>
      </c>
      <c r="N43" s="290">
        <f>(Projections!$D$54*(Projections!O54/100))*-1</f>
        <v>-1152</v>
      </c>
      <c r="O43" s="290">
        <f>(Projections!$D$54*(Projections!P54/100))*-1</f>
        <v>-1152</v>
      </c>
      <c r="P43" s="290">
        <f t="shared" si="2"/>
        <v>-13824</v>
      </c>
      <c r="Q43" s="7"/>
    </row>
    <row r="44" spans="1:17" x14ac:dyDescent="0.2">
      <c r="A44" s="6"/>
      <c r="C44" s="306" t="s">
        <v>193</v>
      </c>
      <c r="D44" s="290">
        <f>(Projections!$D$55*(Projections!E55/100))*-1</f>
        <v>0</v>
      </c>
      <c r="E44" s="290">
        <f>(Projections!$D$55*(Projections!F55/100))*-1</f>
        <v>0</v>
      </c>
      <c r="F44" s="290">
        <f>(Projections!$D$55*(Projections!G55/100))*-1</f>
        <v>0</v>
      </c>
      <c r="G44" s="290">
        <f>(Projections!$D$55*(Projections!H55/100))*-1</f>
        <v>0</v>
      </c>
      <c r="H44" s="290">
        <f>(Projections!$D$55*(Projections!I55/100))*-1</f>
        <v>0</v>
      </c>
      <c r="I44" s="290">
        <f>(Projections!$D$55*(Projections!J55/100))*-1</f>
        <v>0</v>
      </c>
      <c r="J44" s="290">
        <f>(Projections!$D$55*(Projections!K55/100))*-1</f>
        <v>0</v>
      </c>
      <c r="K44" s="290">
        <f>(Projections!$D$55*(Projections!L55/100))*-1</f>
        <v>0</v>
      </c>
      <c r="L44" s="290">
        <f>(Projections!$D$55*(Projections!M55/100))*-1</f>
        <v>0</v>
      </c>
      <c r="M44" s="290">
        <f>(Projections!$D$55*(Projections!N55/100))*-1</f>
        <v>0</v>
      </c>
      <c r="N44" s="290">
        <f>(Projections!$D$55*(Projections!O55/100))*-1</f>
        <v>0</v>
      </c>
      <c r="O44" s="290">
        <f>(Projections!$D$55*(Projections!P55/100))*-1</f>
        <v>0</v>
      </c>
      <c r="P44" s="290">
        <f t="shared" si="2"/>
        <v>0</v>
      </c>
      <c r="Q44" s="7"/>
    </row>
    <row r="45" spans="1:17" x14ac:dyDescent="0.2">
      <c r="A45" s="6"/>
      <c r="C45" s="306" t="s">
        <v>188</v>
      </c>
      <c r="D45" s="290">
        <f>(Projections!$D$56*(Projections!E56/100))*-1</f>
        <v>-28800</v>
      </c>
      <c r="E45" s="290">
        <f>(Projections!$D$56*(Projections!F56/100))*-1</f>
        <v>-28800</v>
      </c>
      <c r="F45" s="290">
        <f>(Projections!$D$56*(Projections!G56/100))*-1</f>
        <v>-28800</v>
      </c>
      <c r="G45" s="290">
        <f>(Projections!$D$56*(Projections!H56/100))*-1</f>
        <v>-28800</v>
      </c>
      <c r="H45" s="290">
        <f>(Projections!$D$56*(Projections!I56/100))*-1</f>
        <v>-28800</v>
      </c>
      <c r="I45" s="290">
        <f>(Projections!$D$56*(Projections!J56/100))*-1</f>
        <v>-28800</v>
      </c>
      <c r="J45" s="290">
        <f>(Projections!$D$56*(Projections!K56/100))*-1</f>
        <v>-28800</v>
      </c>
      <c r="K45" s="290">
        <f>(Projections!$D$56*(Projections!L56/100))*-1</f>
        <v>-28800</v>
      </c>
      <c r="L45" s="290">
        <f>(Projections!$D$56*(Projections!M56/100))*-1</f>
        <v>-28800</v>
      </c>
      <c r="M45" s="290">
        <f>(Projections!$D$56*(Projections!N56/100))*-1</f>
        <v>-28800</v>
      </c>
      <c r="N45" s="290">
        <f>(Projections!$D$56*(Projections!O56/100))*-1</f>
        <v>-28800</v>
      </c>
      <c r="O45" s="290">
        <f>(Projections!$D$56*(Projections!P56/100))*-1</f>
        <v>-28800</v>
      </c>
      <c r="P45" s="290">
        <f t="shared" si="2"/>
        <v>-345600</v>
      </c>
      <c r="Q45" s="7"/>
    </row>
    <row r="46" spans="1:17" x14ac:dyDescent="0.2">
      <c r="A46" s="6"/>
      <c r="C46" s="306" t="s">
        <v>189</v>
      </c>
      <c r="D46" s="290">
        <f>(Projections!$D$57*(Projections!E57/100))*-1</f>
        <v>-2400</v>
      </c>
      <c r="E46" s="290">
        <f>(Projections!$D$57*(Projections!F57/100))*-1</f>
        <v>-2400</v>
      </c>
      <c r="F46" s="290">
        <f>(Projections!$D$57*(Projections!G57/100))*-1</f>
        <v>-2400</v>
      </c>
      <c r="G46" s="290">
        <f>(Projections!$D$57*(Projections!H57/100))*-1</f>
        <v>-2400</v>
      </c>
      <c r="H46" s="290">
        <f>(Projections!$D$57*(Projections!I57/100))*-1</f>
        <v>-2400</v>
      </c>
      <c r="I46" s="290">
        <f>(Projections!$D$57*(Projections!J57/100))*-1</f>
        <v>-2400</v>
      </c>
      <c r="J46" s="290">
        <f>(Projections!$D$57*(Projections!K57/100))*-1</f>
        <v>-2400</v>
      </c>
      <c r="K46" s="290">
        <f>(Projections!$D$57*(Projections!L57/100))*-1</f>
        <v>-2400</v>
      </c>
      <c r="L46" s="290">
        <f>(Projections!$D$57*(Projections!M57/100))*-1</f>
        <v>-2400</v>
      </c>
      <c r="M46" s="290">
        <f>(Projections!$D$57*(Projections!N57/100))*-1</f>
        <v>-2400</v>
      </c>
      <c r="N46" s="290">
        <f>(Projections!$D$57*(Projections!O57/100))*-1</f>
        <v>-2400</v>
      </c>
      <c r="O46" s="290">
        <f>(Projections!$D$57*(Projections!P57/100))*-1</f>
        <v>-2400</v>
      </c>
      <c r="P46" s="290">
        <f t="shared" si="2"/>
        <v>-28800</v>
      </c>
      <c r="Q46" s="7"/>
    </row>
    <row r="47" spans="1:17" x14ac:dyDescent="0.2">
      <c r="A47" s="6"/>
      <c r="C47" s="306" t="s">
        <v>190</v>
      </c>
      <c r="D47" s="290">
        <f>(Projections!$D$58*(Projections!E58/100))*-1</f>
        <v>-11520</v>
      </c>
      <c r="E47" s="290">
        <f>(Projections!$D$58*(Projections!F58/100))*-1</f>
        <v>-11520</v>
      </c>
      <c r="F47" s="290">
        <f>(Projections!$D$58*(Projections!G58/100))*-1</f>
        <v>-11520</v>
      </c>
      <c r="G47" s="290">
        <f>(Projections!$D$58*(Projections!H58/100))*-1</f>
        <v>-11520</v>
      </c>
      <c r="H47" s="290">
        <f>(Projections!$D$58*(Projections!I58/100))*-1</f>
        <v>-11520</v>
      </c>
      <c r="I47" s="290">
        <f>(Projections!$D$58*(Projections!J58/100))*-1</f>
        <v>-11520</v>
      </c>
      <c r="J47" s="290">
        <f>(Projections!$D$58*(Projections!K58/100))*-1</f>
        <v>-11520</v>
      </c>
      <c r="K47" s="290">
        <f>(Projections!$D$58*(Projections!L58/100))*-1</f>
        <v>-11520</v>
      </c>
      <c r="L47" s="290">
        <f>(Projections!$D$58*(Projections!M58/100))*-1</f>
        <v>-11520</v>
      </c>
      <c r="M47" s="290">
        <f>(Projections!$D$58*(Projections!N58/100))*-1</f>
        <v>-11520</v>
      </c>
      <c r="N47" s="290">
        <f>(Projections!$D$58*(Projections!O58/100))*-1</f>
        <v>-11520</v>
      </c>
      <c r="O47" s="290">
        <f>(Projections!$D$58*(Projections!P58/100))*-1</f>
        <v>-11520</v>
      </c>
      <c r="P47" s="290">
        <f t="shared" si="2"/>
        <v>-138240</v>
      </c>
      <c r="Q47" s="7"/>
    </row>
    <row r="48" spans="1:17" x14ac:dyDescent="0.2">
      <c r="A48" s="6"/>
      <c r="C48" s="306" t="s">
        <v>192</v>
      </c>
      <c r="D48" s="290">
        <f>(Projections!$D$59*(Projections!E59/100))*-1</f>
        <v>-7200</v>
      </c>
      <c r="E48" s="290">
        <f>(Projections!$D$59*(Projections!F59/100))*-1</f>
        <v>-7200</v>
      </c>
      <c r="F48" s="290">
        <f>(Projections!$D$59*(Projections!G59/100))*-1</f>
        <v>-7200</v>
      </c>
      <c r="G48" s="290">
        <f>(Projections!$D$59*(Projections!H59/100))*-1</f>
        <v>-7200</v>
      </c>
      <c r="H48" s="290">
        <f>(Projections!$D$59*(Projections!I59/100))*-1</f>
        <v>-7200</v>
      </c>
      <c r="I48" s="290">
        <f>(Projections!$D$59*(Projections!J59/100))*-1</f>
        <v>-7200</v>
      </c>
      <c r="J48" s="290">
        <f>(Projections!$D$59*(Projections!K59/100))*-1</f>
        <v>-7200</v>
      </c>
      <c r="K48" s="290">
        <f>(Projections!$D$59*(Projections!L59/100))*-1</f>
        <v>-7200</v>
      </c>
      <c r="L48" s="290">
        <f>(Projections!$D$59*(Projections!M59/100))*-1</f>
        <v>-7200</v>
      </c>
      <c r="M48" s="290">
        <f>(Projections!$D$59*(Projections!N59/100))*-1</f>
        <v>-7200</v>
      </c>
      <c r="N48" s="290">
        <f>(Projections!$D$59*(Projections!O59/100))*-1</f>
        <v>-7200</v>
      </c>
      <c r="O48" s="290">
        <f>(Projections!$D$59*(Projections!P59/100))*-1</f>
        <v>-7200</v>
      </c>
      <c r="P48" s="290">
        <f t="shared" si="2"/>
        <v>-86400</v>
      </c>
      <c r="Q48" s="7"/>
    </row>
    <row r="49" spans="1:17" x14ac:dyDescent="0.2">
      <c r="A49" s="6"/>
      <c r="C49" s="303" t="s">
        <v>194</v>
      </c>
      <c r="D49" s="291">
        <f>(Projections!$D$60*(Projections!E60/100))*-1</f>
        <v>0</v>
      </c>
      <c r="E49" s="291">
        <f>(Projections!$D$60*(Projections!F60/100))*-1</f>
        <v>0</v>
      </c>
      <c r="F49" s="291">
        <f>(Projections!$D$60*(Projections!G60/100))*-1</f>
        <v>0</v>
      </c>
      <c r="G49" s="291">
        <f>(Projections!$D$60*(Projections!H60/100))*-1</f>
        <v>0</v>
      </c>
      <c r="H49" s="291">
        <f>(Projections!$D$60*(Projections!I60/100))*-1</f>
        <v>0</v>
      </c>
      <c r="I49" s="291">
        <f>(Projections!$D$60*(Projections!J60/100))*-1</f>
        <v>0</v>
      </c>
      <c r="J49" s="291">
        <f>(Projections!$D$60*(Projections!K60/100))*-1</f>
        <v>0</v>
      </c>
      <c r="K49" s="291">
        <f>(Projections!$D$60*(Projections!L60/100))*-1</f>
        <v>0</v>
      </c>
      <c r="L49" s="291">
        <f>(Projections!$D$60*(Projections!M60/100))*-1</f>
        <v>0</v>
      </c>
      <c r="M49" s="291">
        <f>(Projections!$D$60*(Projections!N60/100))*-1</f>
        <v>0</v>
      </c>
      <c r="N49" s="291">
        <f>(Projections!$D$60*(Projections!O60/100))*-1</f>
        <v>0</v>
      </c>
      <c r="O49" s="291">
        <f>(Projections!$D$60*(Projections!P60/100))*-1</f>
        <v>0</v>
      </c>
      <c r="P49" s="291">
        <f t="shared" si="2"/>
        <v>0</v>
      </c>
      <c r="Q49" s="7"/>
    </row>
    <row r="50" spans="1:17" x14ac:dyDescent="0.2">
      <c r="A50" s="6"/>
      <c r="C50" s="298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7"/>
    </row>
    <row r="51" spans="1:17" x14ac:dyDescent="0.2">
      <c r="A51" s="6"/>
      <c r="C51" s="298" t="s">
        <v>411</v>
      </c>
      <c r="D51" s="312">
        <f>SUM(D52:D53)</f>
        <v>-25562.5</v>
      </c>
      <c r="E51" s="312">
        <f>SUM(E52:E53)</f>
        <v>-170318.05555555556</v>
      </c>
      <c r="F51" s="312">
        <f>SUM(F52:F53)</f>
        <v>-24173.611111111113</v>
      </c>
      <c r="G51" s="312">
        <f t="shared" ref="G51:O51" si="4">SUM(G52:G53)</f>
        <v>-23479.166666666668</v>
      </c>
      <c r="H51" s="312">
        <f t="shared" si="4"/>
        <v>-24584.722222222223</v>
      </c>
      <c r="I51" s="312">
        <f t="shared" si="4"/>
        <v>-165740.27777777778</v>
      </c>
      <c r="J51" s="312">
        <f t="shared" si="4"/>
        <v>-21395.833333333332</v>
      </c>
      <c r="K51" s="312">
        <f t="shared" si="4"/>
        <v>-22501.388888888887</v>
      </c>
      <c r="L51" s="312">
        <f t="shared" si="4"/>
        <v>-20006.944444444442</v>
      </c>
      <c r="M51" s="312">
        <f t="shared" si="4"/>
        <v>-19312.5</v>
      </c>
      <c r="N51" s="312">
        <f t="shared" si="4"/>
        <v>-20418.055555555558</v>
      </c>
      <c r="O51" s="312">
        <f t="shared" si="4"/>
        <v>-17923.611111111113</v>
      </c>
      <c r="P51" s="315">
        <f t="shared" si="2"/>
        <v>-555416.66666666663</v>
      </c>
      <c r="Q51" s="7"/>
    </row>
    <row r="52" spans="1:17" x14ac:dyDescent="0.2">
      <c r="A52" s="6"/>
      <c r="C52" s="302" t="s">
        <v>470</v>
      </c>
      <c r="D52" s="301">
        <f>(Projections!T2)*-1</f>
        <v>-562.50000000000011</v>
      </c>
      <c r="E52" s="301">
        <f>(Projections!U2)*-1</f>
        <v>-146012.5</v>
      </c>
      <c r="F52" s="301">
        <f>(Projections!V2)*-1</f>
        <v>-562.50000000000011</v>
      </c>
      <c r="G52" s="301">
        <f>(Projections!W2)*-1</f>
        <v>-562.50000000000011</v>
      </c>
      <c r="H52" s="301">
        <f>(Projections!X2)*-1</f>
        <v>-2362.5</v>
      </c>
      <c r="I52" s="301">
        <f>(Projections!Y2)*-1</f>
        <v>-144212.5</v>
      </c>
      <c r="J52" s="301">
        <f>(Projections!Z2)*-1</f>
        <v>-562.50000000000011</v>
      </c>
      <c r="K52" s="301">
        <f>(Projections!AA2)*-1</f>
        <v>-2362.5</v>
      </c>
      <c r="L52" s="301">
        <f>(Projections!AB2)*-1</f>
        <v>-562.50000000000011</v>
      </c>
      <c r="M52" s="301">
        <f>(Projections!AC2)*-1</f>
        <v>-562.50000000000011</v>
      </c>
      <c r="N52" s="301">
        <f>(Projections!AD2)*-1</f>
        <v>-2362.5</v>
      </c>
      <c r="O52" s="301">
        <f>(Projections!AE2)*-1</f>
        <v>-562.50000000000011</v>
      </c>
      <c r="P52" s="290">
        <f t="shared" si="2"/>
        <v>-301250</v>
      </c>
      <c r="Q52" s="7"/>
    </row>
    <row r="53" spans="1:17" x14ac:dyDescent="0.2">
      <c r="A53" s="6"/>
      <c r="C53" s="303" t="s">
        <v>471</v>
      </c>
      <c r="D53" s="291">
        <f>+($D$6*$D$7/100/12)*-1</f>
        <v>-25000</v>
      </c>
      <c r="E53" s="291">
        <f>+(($D$6+SUM(D62:D62))*$D$7/100/12)*-1</f>
        <v>-24305.555555555558</v>
      </c>
      <c r="F53" s="291">
        <f>+(($D$6+SUM(D62:E62))*$D$7/100/12)*-1</f>
        <v>-23611.111111111113</v>
      </c>
      <c r="G53" s="291">
        <f>+(($D$6+SUM(D62:F62))*$D$7/100/12)*-1</f>
        <v>-22916.666666666668</v>
      </c>
      <c r="H53" s="291">
        <f>+(($D$6+SUM(D62:G62))*$D$7/100/12)*-1</f>
        <v>-22222.222222222223</v>
      </c>
      <c r="I53" s="291">
        <f>+(($D$6+SUM(D62:H62))*$D$7/100/12)*-1</f>
        <v>-21527.777777777777</v>
      </c>
      <c r="J53" s="291">
        <f>+(($D$6+SUM(D62:I62))*$D$7/100/12)*-1</f>
        <v>-20833.333333333332</v>
      </c>
      <c r="K53" s="291">
        <f>+(($D$6+SUM(D62:J62))*$D$7/100/12)*-1</f>
        <v>-20138.888888888887</v>
      </c>
      <c r="L53" s="291">
        <f>+(($D$6+SUM(D62:K62))*$D$7/100/12)*-1</f>
        <v>-19444.444444444442</v>
      </c>
      <c r="M53" s="291">
        <f>+(($D$6+SUM(D62:L62))*$D$7/100/12)*-1</f>
        <v>-18750</v>
      </c>
      <c r="N53" s="291">
        <f>+(($D$6+SUM(D62:M62))*$D$7/100/12)*-1</f>
        <v>-18055.555555555558</v>
      </c>
      <c r="O53" s="291">
        <f>+(($D$6+SUM(D62:N62))*$D$7/100/12)*-1</f>
        <v>-17361.111111111113</v>
      </c>
      <c r="P53" s="291">
        <f t="shared" si="2"/>
        <v>-254166.66666666669</v>
      </c>
      <c r="Q53" s="7"/>
    </row>
    <row r="54" spans="1:17" x14ac:dyDescent="0.2">
      <c r="A54" s="6"/>
      <c r="C54" s="298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7"/>
    </row>
    <row r="55" spans="1:17" x14ac:dyDescent="0.2">
      <c r="A55" s="6"/>
      <c r="P55" s="310"/>
      <c r="Q55" s="7"/>
    </row>
    <row r="56" spans="1:17" x14ac:dyDescent="0.2">
      <c r="A56" s="6"/>
      <c r="C56" s="66" t="s">
        <v>472</v>
      </c>
      <c r="D56" s="292">
        <f>(D51+D37)</f>
        <v>-85914.5</v>
      </c>
      <c r="E56" s="292">
        <f t="shared" ref="E56:O56" si="5">(E51+E37)</f>
        <v>-230670.05555555556</v>
      </c>
      <c r="F56" s="292">
        <f t="shared" si="5"/>
        <v>-84525.611111111109</v>
      </c>
      <c r="G56" s="292">
        <f t="shared" si="5"/>
        <v>-83831.166666666672</v>
      </c>
      <c r="H56" s="292">
        <f t="shared" si="5"/>
        <v>-84936.722222222219</v>
      </c>
      <c r="I56" s="292">
        <f t="shared" si="5"/>
        <v>-261092.27777777778</v>
      </c>
      <c r="J56" s="292">
        <f t="shared" si="5"/>
        <v>-81747.833333333328</v>
      </c>
      <c r="K56" s="292">
        <f t="shared" si="5"/>
        <v>-82853.388888888891</v>
      </c>
      <c r="L56" s="292">
        <f t="shared" si="5"/>
        <v>-80358.944444444438</v>
      </c>
      <c r="M56" s="292">
        <f t="shared" si="5"/>
        <v>-79664.5</v>
      </c>
      <c r="N56" s="292">
        <f t="shared" si="5"/>
        <v>-80770.055555555562</v>
      </c>
      <c r="O56" s="292">
        <f t="shared" si="5"/>
        <v>-113275.61111111111</v>
      </c>
      <c r="P56" s="291">
        <f t="shared" si="2"/>
        <v>-1349640.6666666665</v>
      </c>
      <c r="Q56" s="7"/>
    </row>
    <row r="57" spans="1:17" x14ac:dyDescent="0.2">
      <c r="A57" s="6"/>
      <c r="C57" s="66" t="s">
        <v>474</v>
      </c>
      <c r="D57" s="292">
        <f>(D14+D56)</f>
        <v>34685.5</v>
      </c>
      <c r="E57" s="292">
        <f>(E14+E56)</f>
        <v>-130170.05555555556</v>
      </c>
      <c r="F57" s="292">
        <f>(F14+F56)</f>
        <v>15974.388888888891</v>
      </c>
      <c r="G57" s="292">
        <f t="shared" ref="G57:O57" si="6">(G14+G56)</f>
        <v>16668.833333333328</v>
      </c>
      <c r="H57" s="292">
        <f t="shared" si="6"/>
        <v>216563.27777777778</v>
      </c>
      <c r="I57" s="292">
        <f t="shared" si="6"/>
        <v>40407.722222222219</v>
      </c>
      <c r="J57" s="292">
        <f t="shared" si="6"/>
        <v>219752.16666666669</v>
      </c>
      <c r="K57" s="292">
        <f t="shared" si="6"/>
        <v>218646.61111111112</v>
      </c>
      <c r="L57" s="292">
        <f t="shared" si="6"/>
        <v>20141.055555555562</v>
      </c>
      <c r="M57" s="292">
        <f t="shared" si="6"/>
        <v>20835.5</v>
      </c>
      <c r="N57" s="292">
        <f t="shared" si="6"/>
        <v>19729.944444444438</v>
      </c>
      <c r="O57" s="292">
        <f t="shared" si="6"/>
        <v>-12775.611111111109</v>
      </c>
      <c r="P57" s="292">
        <f t="shared" si="2"/>
        <v>680459.33333333337</v>
      </c>
      <c r="Q57" s="7"/>
    </row>
    <row r="58" spans="1:17" x14ac:dyDescent="0.2">
      <c r="A58" s="6"/>
      <c r="C58" s="66" t="s">
        <v>480</v>
      </c>
      <c r="D58" s="292"/>
      <c r="E58" s="292"/>
      <c r="F58" s="292"/>
      <c r="G58" s="292"/>
      <c r="H58" s="292"/>
      <c r="I58" s="292">
        <f>(SUM($P$20:$P$31)*0.5*0.5)+(SUM('Cash Flow - Year 1'!$P$20:$P$31)*0.3*0.5)</f>
        <v>-348439.2</v>
      </c>
      <c r="J58" s="292"/>
      <c r="K58" s="292"/>
      <c r="L58" s="292"/>
      <c r="M58" s="292"/>
      <c r="N58" s="292"/>
      <c r="O58" s="292">
        <f>(SUM($P$20:$P$31)*0.5*0.5)+(SUM('Cash Flow - Year 1'!$P$20:$P$31)*0.3*0.5)</f>
        <v>-348439.2</v>
      </c>
      <c r="P58" s="292">
        <f t="shared" si="2"/>
        <v>-696878.4</v>
      </c>
      <c r="Q58" s="7"/>
    </row>
    <row r="59" spans="1:17" x14ac:dyDescent="0.2">
      <c r="A59" s="6"/>
      <c r="C59" s="66" t="s">
        <v>481</v>
      </c>
      <c r="D59" s="292">
        <f t="shared" ref="D59:O59" si="7">(D57+D58)</f>
        <v>34685.5</v>
      </c>
      <c r="E59" s="292">
        <f t="shared" si="7"/>
        <v>-130170.05555555556</v>
      </c>
      <c r="F59" s="292">
        <f t="shared" si="7"/>
        <v>15974.388888888891</v>
      </c>
      <c r="G59" s="292">
        <f t="shared" si="7"/>
        <v>16668.833333333328</v>
      </c>
      <c r="H59" s="292">
        <f t="shared" si="7"/>
        <v>216563.27777777778</v>
      </c>
      <c r="I59" s="292">
        <f t="shared" si="7"/>
        <v>-308031.47777777782</v>
      </c>
      <c r="J59" s="292">
        <f t="shared" si="7"/>
        <v>219752.16666666669</v>
      </c>
      <c r="K59" s="292">
        <f t="shared" si="7"/>
        <v>218646.61111111112</v>
      </c>
      <c r="L59" s="292">
        <f t="shared" si="7"/>
        <v>20141.055555555562</v>
      </c>
      <c r="M59" s="292">
        <f t="shared" si="7"/>
        <v>20835.5</v>
      </c>
      <c r="N59" s="292">
        <f t="shared" si="7"/>
        <v>19729.944444444438</v>
      </c>
      <c r="O59" s="292">
        <f t="shared" si="7"/>
        <v>-361214.81111111114</v>
      </c>
      <c r="P59" s="292">
        <f t="shared" si="2"/>
        <v>-16419.066666666709</v>
      </c>
      <c r="Q59" s="7"/>
    </row>
    <row r="60" spans="1:17" x14ac:dyDescent="0.2">
      <c r="A60" s="6"/>
      <c r="C60" s="66" t="s">
        <v>482</v>
      </c>
      <c r="D60" s="292">
        <f>(D59*($D$9/100))*-1</f>
        <v>0</v>
      </c>
      <c r="E60" s="292">
        <f>(E59*($D$9/100))*-1</f>
        <v>0</v>
      </c>
      <c r="F60" s="292">
        <f>(F59*($D$9/100))*-1</f>
        <v>0</v>
      </c>
      <c r="G60" s="292">
        <f t="shared" ref="G60:O60" si="8">(G59*($D$9/100))*-1</f>
        <v>0</v>
      </c>
      <c r="H60" s="292">
        <f t="shared" si="8"/>
        <v>0</v>
      </c>
      <c r="I60" s="292">
        <f t="shared" si="8"/>
        <v>0</v>
      </c>
      <c r="J60" s="292">
        <f t="shared" si="8"/>
        <v>0</v>
      </c>
      <c r="K60" s="292">
        <f t="shared" si="8"/>
        <v>0</v>
      </c>
      <c r="L60" s="292">
        <f t="shared" si="8"/>
        <v>0</v>
      </c>
      <c r="M60" s="292">
        <f t="shared" si="8"/>
        <v>0</v>
      </c>
      <c r="N60" s="292">
        <f t="shared" si="8"/>
        <v>0</v>
      </c>
      <c r="O60" s="292">
        <f t="shared" si="8"/>
        <v>0</v>
      </c>
      <c r="P60" s="292">
        <f t="shared" si="2"/>
        <v>0</v>
      </c>
      <c r="Q60" s="7"/>
    </row>
    <row r="61" spans="1:17" x14ac:dyDescent="0.2">
      <c r="A61" s="6"/>
      <c r="C61" s="66" t="s">
        <v>483</v>
      </c>
      <c r="D61" s="292">
        <f t="shared" ref="D61:O61" si="9">(D59+(D60))</f>
        <v>34685.5</v>
      </c>
      <c r="E61" s="292">
        <f t="shared" si="9"/>
        <v>-130170.05555555556</v>
      </c>
      <c r="F61" s="292">
        <f t="shared" si="9"/>
        <v>15974.388888888891</v>
      </c>
      <c r="G61" s="292">
        <f t="shared" si="9"/>
        <v>16668.833333333328</v>
      </c>
      <c r="H61" s="292">
        <f t="shared" si="9"/>
        <v>216563.27777777778</v>
      </c>
      <c r="I61" s="292">
        <f t="shared" si="9"/>
        <v>-308031.47777777782</v>
      </c>
      <c r="J61" s="292">
        <f t="shared" si="9"/>
        <v>219752.16666666669</v>
      </c>
      <c r="K61" s="292">
        <f t="shared" si="9"/>
        <v>218646.61111111112</v>
      </c>
      <c r="L61" s="292">
        <f t="shared" si="9"/>
        <v>20141.055555555562</v>
      </c>
      <c r="M61" s="292">
        <f t="shared" si="9"/>
        <v>20835.5</v>
      </c>
      <c r="N61" s="292">
        <f t="shared" si="9"/>
        <v>19729.944444444438</v>
      </c>
      <c r="O61" s="292">
        <f t="shared" si="9"/>
        <v>-361214.81111111114</v>
      </c>
      <c r="P61" s="292">
        <f t="shared" si="2"/>
        <v>-16419.066666666709</v>
      </c>
      <c r="Q61" s="7"/>
    </row>
    <row r="62" spans="1:17" ht="13.5" thickBot="1" x14ac:dyDescent="0.25">
      <c r="A62" s="6"/>
      <c r="C62" s="311" t="s">
        <v>475</v>
      </c>
      <c r="D62" s="301">
        <f>+($D$6/($D$8*12))*-1</f>
        <v>-55555.555555555555</v>
      </c>
      <c r="E62" s="301">
        <f>+($D$6/($D$8*12))*-1</f>
        <v>-55555.555555555555</v>
      </c>
      <c r="F62" s="301">
        <f>+($D$6/($D$8*12))*-1</f>
        <v>-55555.555555555555</v>
      </c>
      <c r="G62" s="301">
        <f t="shared" ref="G62:O62" si="10">+($D$6/($D$8*12))*-1</f>
        <v>-55555.555555555555</v>
      </c>
      <c r="H62" s="301">
        <f t="shared" si="10"/>
        <v>-55555.555555555555</v>
      </c>
      <c r="I62" s="301">
        <f t="shared" si="10"/>
        <v>-55555.555555555555</v>
      </c>
      <c r="J62" s="301">
        <f t="shared" si="10"/>
        <v>-55555.555555555555</v>
      </c>
      <c r="K62" s="301">
        <f t="shared" si="10"/>
        <v>-55555.555555555555</v>
      </c>
      <c r="L62" s="301">
        <f t="shared" si="10"/>
        <v>-55555.555555555555</v>
      </c>
      <c r="M62" s="301">
        <f t="shared" si="10"/>
        <v>-55555.555555555555</v>
      </c>
      <c r="N62" s="301">
        <f t="shared" si="10"/>
        <v>-55555.555555555555</v>
      </c>
      <c r="O62" s="301">
        <f t="shared" si="10"/>
        <v>-55555.555555555555</v>
      </c>
      <c r="P62" s="301">
        <f t="shared" si="2"/>
        <v>-666666.66666666651</v>
      </c>
      <c r="Q62" s="7"/>
    </row>
    <row r="63" spans="1:17" ht="13.5" thickBot="1" x14ac:dyDescent="0.25">
      <c r="A63" s="6"/>
      <c r="C63" s="258" t="s">
        <v>484</v>
      </c>
      <c r="D63" s="313">
        <f t="shared" ref="D63:O63" si="11">(D57+D60+D62)</f>
        <v>-20870.055555555555</v>
      </c>
      <c r="E63" s="313">
        <f t="shared" si="11"/>
        <v>-185725.61111111112</v>
      </c>
      <c r="F63" s="313">
        <f t="shared" si="11"/>
        <v>-39581.166666666664</v>
      </c>
      <c r="G63" s="313">
        <f t="shared" si="11"/>
        <v>-38886.722222222226</v>
      </c>
      <c r="H63" s="313">
        <f t="shared" si="11"/>
        <v>161007.72222222222</v>
      </c>
      <c r="I63" s="313">
        <f t="shared" si="11"/>
        <v>-15147.833333333336</v>
      </c>
      <c r="J63" s="313">
        <f t="shared" si="11"/>
        <v>164196.61111111112</v>
      </c>
      <c r="K63" s="313">
        <f t="shared" si="11"/>
        <v>163091.05555555556</v>
      </c>
      <c r="L63" s="313">
        <f t="shared" si="11"/>
        <v>-35414.499999999993</v>
      </c>
      <c r="M63" s="313">
        <f t="shared" si="11"/>
        <v>-34720.055555555555</v>
      </c>
      <c r="N63" s="313">
        <f t="shared" si="11"/>
        <v>-35825.611111111117</v>
      </c>
      <c r="O63" s="313">
        <f t="shared" si="11"/>
        <v>-68331.166666666657</v>
      </c>
      <c r="P63" s="314">
        <f t="shared" si="2"/>
        <v>13792.666666666657</v>
      </c>
      <c r="Q63" s="7"/>
    </row>
    <row r="64" spans="1:17" x14ac:dyDescent="0.2">
      <c r="A64" s="6"/>
      <c r="C64" s="265" t="s">
        <v>486</v>
      </c>
      <c r="D64" s="291">
        <f>('Cash Flow - Year 1'!P65)</f>
        <v>-374807.99999999983</v>
      </c>
      <c r="E64" s="291">
        <f>(D65)</f>
        <v>-395678.05555555539</v>
      </c>
      <c r="F64" s="291">
        <f>(E65)</f>
        <v>-581403.66666666651</v>
      </c>
      <c r="G64" s="291">
        <f t="shared" ref="G64:O64" si="12">(F65)</f>
        <v>-620984.83333333314</v>
      </c>
      <c r="H64" s="291">
        <f t="shared" si="12"/>
        <v>-659871.55555555539</v>
      </c>
      <c r="I64" s="291">
        <f t="shared" si="12"/>
        <v>-498863.83333333314</v>
      </c>
      <c r="J64" s="291">
        <f t="shared" si="12"/>
        <v>-514011.66666666645</v>
      </c>
      <c r="K64" s="291">
        <f t="shared" si="12"/>
        <v>-349815.05555555533</v>
      </c>
      <c r="L64" s="291">
        <f t="shared" si="12"/>
        <v>-186723.99999999977</v>
      </c>
      <c r="M64" s="291">
        <f t="shared" si="12"/>
        <v>-222138.49999999977</v>
      </c>
      <c r="N64" s="291">
        <f t="shared" si="12"/>
        <v>-256858.55555555533</v>
      </c>
      <c r="O64" s="291">
        <f t="shared" si="12"/>
        <v>-292684.16666666645</v>
      </c>
      <c r="P64" s="46"/>
      <c r="Q64" s="7"/>
    </row>
    <row r="65" spans="1:17" ht="13.5" thickBot="1" x14ac:dyDescent="0.25">
      <c r="A65" s="6"/>
      <c r="C65" s="317" t="s">
        <v>487</v>
      </c>
      <c r="D65" s="301">
        <f>(D63+D64)</f>
        <v>-395678.05555555539</v>
      </c>
      <c r="E65" s="301">
        <f t="shared" ref="E65:O65" si="13">(E63+E64)</f>
        <v>-581403.66666666651</v>
      </c>
      <c r="F65" s="301">
        <f t="shared" si="13"/>
        <v>-620984.83333333314</v>
      </c>
      <c r="G65" s="301">
        <f t="shared" si="13"/>
        <v>-659871.55555555539</v>
      </c>
      <c r="H65" s="301">
        <f t="shared" si="13"/>
        <v>-498863.83333333314</v>
      </c>
      <c r="I65" s="301">
        <f t="shared" si="13"/>
        <v>-514011.66666666645</v>
      </c>
      <c r="J65" s="301">
        <f t="shared" si="13"/>
        <v>-349815.05555555533</v>
      </c>
      <c r="K65" s="301">
        <f t="shared" si="13"/>
        <v>-186723.99999999977</v>
      </c>
      <c r="L65" s="301">
        <f t="shared" si="13"/>
        <v>-222138.49999999977</v>
      </c>
      <c r="M65" s="301">
        <f t="shared" si="13"/>
        <v>-256858.55555555533</v>
      </c>
      <c r="N65" s="301">
        <f t="shared" si="13"/>
        <v>-292684.16666666645</v>
      </c>
      <c r="O65" s="301">
        <f t="shared" si="13"/>
        <v>-361015.33333333314</v>
      </c>
      <c r="P65" s="301">
        <f>(O65)*1.15</f>
        <v>-415167.63333333307</v>
      </c>
      <c r="Q65" s="7"/>
    </row>
    <row r="66" spans="1:17" x14ac:dyDescent="0.2">
      <c r="A66" s="6"/>
      <c r="C66" s="272" t="s">
        <v>489</v>
      </c>
      <c r="D66" s="318">
        <f>(D60)</f>
        <v>0</v>
      </c>
      <c r="E66" s="318">
        <f>(D66+E60)</f>
        <v>0</v>
      </c>
      <c r="F66" s="318">
        <f t="shared" ref="F66:O66" si="14">(E66+F60)</f>
        <v>0</v>
      </c>
      <c r="G66" s="318">
        <f t="shared" si="14"/>
        <v>0</v>
      </c>
      <c r="H66" s="318">
        <f t="shared" si="14"/>
        <v>0</v>
      </c>
      <c r="I66" s="318">
        <f t="shared" si="14"/>
        <v>0</v>
      </c>
      <c r="J66" s="318">
        <f t="shared" si="14"/>
        <v>0</v>
      </c>
      <c r="K66" s="318">
        <f t="shared" si="14"/>
        <v>0</v>
      </c>
      <c r="L66" s="318">
        <f t="shared" si="14"/>
        <v>0</v>
      </c>
      <c r="M66" s="318">
        <f t="shared" si="14"/>
        <v>0</v>
      </c>
      <c r="N66" s="318">
        <f t="shared" si="14"/>
        <v>0</v>
      </c>
      <c r="O66" s="318">
        <f t="shared" si="14"/>
        <v>0</v>
      </c>
      <c r="P66" s="319">
        <f>(O66)</f>
        <v>0</v>
      </c>
      <c r="Q66" s="7"/>
    </row>
    <row r="67" spans="1:17" ht="13.5" thickBot="1" x14ac:dyDescent="0.25">
      <c r="A67" s="6"/>
      <c r="C67" s="257" t="s">
        <v>488</v>
      </c>
      <c r="D67" s="255"/>
      <c r="E67" s="255"/>
      <c r="F67" s="255"/>
      <c r="G67" s="255"/>
      <c r="H67" s="255"/>
      <c r="I67" s="320">
        <f>(P66/2)</f>
        <v>0</v>
      </c>
      <c r="J67" s="255"/>
      <c r="K67" s="255"/>
      <c r="L67" s="255"/>
      <c r="M67" s="255"/>
      <c r="N67" s="255"/>
      <c r="O67" s="320">
        <f>(O66-I67)</f>
        <v>0</v>
      </c>
      <c r="P67" s="323">
        <f>(O67+I67)</f>
        <v>0</v>
      </c>
      <c r="Q67" s="7"/>
    </row>
    <row r="68" spans="1:17" ht="13.5" thickBot="1" x14ac:dyDescent="0.25">
      <c r="A68" s="26"/>
      <c r="B68" s="27"/>
      <c r="C68" s="27"/>
      <c r="D68" s="31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8"/>
  <sheetViews>
    <sheetView workbookViewId="0">
      <selection activeCell="D8" sqref="D8"/>
    </sheetView>
  </sheetViews>
  <sheetFormatPr defaultRowHeight="12.75" x14ac:dyDescent="0.2"/>
  <cols>
    <col min="1" max="1" width="1" customWidth="1"/>
    <col min="2" max="2" width="1.7109375" customWidth="1"/>
    <col min="3" max="3" width="43.7109375" customWidth="1"/>
    <col min="4" max="16" width="13.7109375" customWidth="1"/>
    <col min="17" max="17" width="2.140625" customWidth="1"/>
  </cols>
  <sheetData>
    <row r="1" spans="1:17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x14ac:dyDescent="0.2">
      <c r="A2" s="6"/>
      <c r="B2" s="24" t="s">
        <v>502</v>
      </c>
      <c r="C2" s="2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 t="s">
        <v>501</v>
      </c>
      <c r="Q2" s="7"/>
    </row>
    <row r="3" spans="1:17" ht="13.5" thickBot="1" x14ac:dyDescent="0.25">
      <c r="A3" s="6"/>
      <c r="Q3" s="7"/>
    </row>
    <row r="4" spans="1:17" ht="13.5" thickBot="1" x14ac:dyDescent="0.25">
      <c r="A4" s="6"/>
      <c r="C4" s="43" t="s">
        <v>461</v>
      </c>
      <c r="Q4" s="7"/>
    </row>
    <row r="5" spans="1:17" x14ac:dyDescent="0.2">
      <c r="A5" s="6"/>
      <c r="Q5" s="7"/>
    </row>
    <row r="6" spans="1:17" x14ac:dyDescent="0.2">
      <c r="A6" s="6"/>
      <c r="C6" s="88" t="s">
        <v>473</v>
      </c>
      <c r="D6" s="296">
        <f>('Cash Flow - Year 2'!D6+'Cash Flow - Year 2'!P62)</f>
        <v>1333333.3333333335</v>
      </c>
      <c r="Q6" s="7"/>
    </row>
    <row r="7" spans="1:17" x14ac:dyDescent="0.2">
      <c r="A7" s="6"/>
      <c r="C7" s="88" t="s">
        <v>479</v>
      </c>
      <c r="D7">
        <v>15</v>
      </c>
      <c r="E7" s="348" t="s">
        <v>537</v>
      </c>
      <c r="Q7" s="7"/>
    </row>
    <row r="8" spans="1:17" x14ac:dyDescent="0.2">
      <c r="A8" s="6"/>
      <c r="C8" s="88" t="s">
        <v>485</v>
      </c>
      <c r="D8">
        <f>IF(('Cash Flow - Year 2'!D8-1)&lt;=0,1,('Cash Flow - Year 2'!D8-1))</f>
        <v>2</v>
      </c>
      <c r="Q8" s="7"/>
    </row>
    <row r="9" spans="1:17" x14ac:dyDescent="0.2">
      <c r="A9" s="6"/>
      <c r="C9" s="88" t="s">
        <v>476</v>
      </c>
      <c r="D9">
        <v>0</v>
      </c>
      <c r="Q9" s="7"/>
    </row>
    <row r="10" spans="1:17" x14ac:dyDescent="0.2">
      <c r="A10" s="6"/>
      <c r="C10" s="88"/>
      <c r="Q10" s="7"/>
    </row>
    <row r="11" spans="1:17" ht="13.5" thickBot="1" x14ac:dyDescent="0.25">
      <c r="A11" s="6"/>
      <c r="Q11" s="7"/>
    </row>
    <row r="12" spans="1:17" ht="13.5" thickBot="1" x14ac:dyDescent="0.25">
      <c r="A12" s="6"/>
      <c r="C12" s="258" t="s">
        <v>234</v>
      </c>
      <c r="D12" s="281" t="s">
        <v>388</v>
      </c>
      <c r="E12" s="281" t="s">
        <v>389</v>
      </c>
      <c r="F12" s="281" t="s">
        <v>390</v>
      </c>
      <c r="G12" s="281" t="s">
        <v>391</v>
      </c>
      <c r="H12" s="281" t="s">
        <v>392</v>
      </c>
      <c r="I12" s="281" t="s">
        <v>393</v>
      </c>
      <c r="J12" s="281" t="s">
        <v>394</v>
      </c>
      <c r="K12" s="281" t="s">
        <v>395</v>
      </c>
      <c r="L12" s="281" t="s">
        <v>396</v>
      </c>
      <c r="M12" s="281" t="s">
        <v>397</v>
      </c>
      <c r="N12" s="281" t="s">
        <v>398</v>
      </c>
      <c r="O12" s="293" t="s">
        <v>399</v>
      </c>
      <c r="P12" s="294" t="s">
        <v>78</v>
      </c>
      <c r="Q12" s="7"/>
    </row>
    <row r="13" spans="1:17" x14ac:dyDescent="0.2">
      <c r="A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22"/>
      <c r="Q13" s="7"/>
    </row>
    <row r="14" spans="1:17" x14ac:dyDescent="0.2">
      <c r="A14" s="6"/>
      <c r="C14" s="295" t="s">
        <v>462</v>
      </c>
      <c r="D14" s="1">
        <f>(D15*D16)</f>
        <v>120600</v>
      </c>
      <c r="E14" s="1">
        <f>(E15*E16)</f>
        <v>100500</v>
      </c>
      <c r="F14" s="1">
        <f>(F15*F16)</f>
        <v>100500</v>
      </c>
      <c r="G14" s="1">
        <f t="shared" ref="G14:O14" si="0">(G15*G16)</f>
        <v>100500</v>
      </c>
      <c r="H14" s="1">
        <f t="shared" si="0"/>
        <v>301500</v>
      </c>
      <c r="I14" s="1">
        <f t="shared" si="0"/>
        <v>301500</v>
      </c>
      <c r="J14" s="1">
        <f t="shared" si="0"/>
        <v>301500</v>
      </c>
      <c r="K14" s="1">
        <f t="shared" si="0"/>
        <v>301500</v>
      </c>
      <c r="L14" s="1">
        <f t="shared" si="0"/>
        <v>100500</v>
      </c>
      <c r="M14" s="1">
        <f t="shared" si="0"/>
        <v>100500</v>
      </c>
      <c r="N14" s="1">
        <f t="shared" si="0"/>
        <v>100500</v>
      </c>
      <c r="O14" s="1">
        <f t="shared" si="0"/>
        <v>100500</v>
      </c>
      <c r="P14" s="312">
        <f>SUM(D14:O14)</f>
        <v>2030100</v>
      </c>
      <c r="Q14" s="7"/>
    </row>
    <row r="15" spans="1:17" x14ac:dyDescent="0.2">
      <c r="A15" s="6"/>
      <c r="C15" s="308" t="s">
        <v>463</v>
      </c>
      <c r="D15" s="300">
        <f>(Projections!E19)</f>
        <v>40200</v>
      </c>
      <c r="E15" s="300">
        <f>(Projections!F19)</f>
        <v>33500</v>
      </c>
      <c r="F15" s="300">
        <f>(Projections!G19)</f>
        <v>33500</v>
      </c>
      <c r="G15" s="300">
        <f>(Projections!H19)</f>
        <v>33500</v>
      </c>
      <c r="H15" s="300">
        <f>(Projections!I19)</f>
        <v>100500</v>
      </c>
      <c r="I15" s="300">
        <f>(Projections!J19)</f>
        <v>100500</v>
      </c>
      <c r="J15" s="300">
        <f>(Projections!K19)</f>
        <v>100500</v>
      </c>
      <c r="K15" s="300">
        <f>(Projections!L19)</f>
        <v>100500</v>
      </c>
      <c r="L15" s="300">
        <f>(Projections!M19)</f>
        <v>33500</v>
      </c>
      <c r="M15" s="300">
        <f>(Projections!N19)</f>
        <v>33500</v>
      </c>
      <c r="N15" s="300">
        <f>(Projections!O19)</f>
        <v>33500</v>
      </c>
      <c r="O15" s="300">
        <f>(Projections!P19)</f>
        <v>33500</v>
      </c>
      <c r="P15" s="301">
        <f>SUM(D15:O15)</f>
        <v>676700</v>
      </c>
      <c r="Q15" s="7"/>
    </row>
    <row r="16" spans="1:17" x14ac:dyDescent="0.2">
      <c r="A16" s="6"/>
      <c r="C16" s="309" t="s">
        <v>464</v>
      </c>
      <c r="D16" s="61">
        <f>(Projections!$D$7)</f>
        <v>3</v>
      </c>
      <c r="E16" s="61">
        <f>(Projections!$D$7)</f>
        <v>3</v>
      </c>
      <c r="F16" s="61">
        <f>(Projections!$D$7)</f>
        <v>3</v>
      </c>
      <c r="G16" s="61">
        <f>(Projections!$D$7)</f>
        <v>3</v>
      </c>
      <c r="H16" s="61">
        <f>(Projections!$D$7)</f>
        <v>3</v>
      </c>
      <c r="I16" s="61">
        <f>(Projections!$D$7)</f>
        <v>3</v>
      </c>
      <c r="J16" s="61">
        <f>(Projections!$D$7)</f>
        <v>3</v>
      </c>
      <c r="K16" s="61">
        <f>(Projections!$D$7)</f>
        <v>3</v>
      </c>
      <c r="L16" s="61">
        <f>(Projections!$D$7)</f>
        <v>3</v>
      </c>
      <c r="M16" s="61">
        <f>(Projections!$D$7)</f>
        <v>3</v>
      </c>
      <c r="N16" s="61">
        <f>(Projections!$D$7)</f>
        <v>3</v>
      </c>
      <c r="O16" s="61">
        <f>(Projections!$D$7)</f>
        <v>3</v>
      </c>
      <c r="P16" s="291"/>
      <c r="Q16" s="7"/>
    </row>
    <row r="17" spans="1:17" x14ac:dyDescent="0.2">
      <c r="A17" s="6"/>
      <c r="C17" s="297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96"/>
      <c r="Q17" s="7"/>
    </row>
    <row r="18" spans="1:17" x14ac:dyDescent="0.2">
      <c r="A18" s="6"/>
      <c r="C18" s="1" t="s">
        <v>465</v>
      </c>
      <c r="P18" s="296"/>
      <c r="Q18" s="7"/>
    </row>
    <row r="19" spans="1:17" x14ac:dyDescent="0.2">
      <c r="A19" s="6"/>
      <c r="C19" s="298" t="s">
        <v>412</v>
      </c>
      <c r="D19" s="312">
        <f>SUM(D20:D35)</f>
        <v>0</v>
      </c>
      <c r="E19" s="312">
        <f>SUM(E20:E35)</f>
        <v>0</v>
      </c>
      <c r="F19" s="312">
        <f>SUM(F20:F35)</f>
        <v>0</v>
      </c>
      <c r="G19" s="312">
        <f t="shared" ref="G19:O19" si="1">SUM(G20:G35)</f>
        <v>0</v>
      </c>
      <c r="H19" s="312">
        <f t="shared" si="1"/>
        <v>0</v>
      </c>
      <c r="I19" s="312">
        <f t="shared" si="1"/>
        <v>0</v>
      </c>
      <c r="J19" s="312">
        <f t="shared" si="1"/>
        <v>0</v>
      </c>
      <c r="K19" s="312">
        <f t="shared" si="1"/>
        <v>0</v>
      </c>
      <c r="L19" s="312">
        <f t="shared" si="1"/>
        <v>0</v>
      </c>
      <c r="M19" s="312">
        <f t="shared" si="1"/>
        <v>0</v>
      </c>
      <c r="N19" s="312">
        <f t="shared" si="1"/>
        <v>0</v>
      </c>
      <c r="O19" s="312">
        <f t="shared" si="1"/>
        <v>0</v>
      </c>
      <c r="P19" s="315">
        <f t="shared" ref="P19:P63" si="2">SUM(D19:O19)</f>
        <v>0</v>
      </c>
      <c r="Q19" s="7"/>
    </row>
    <row r="20" spans="1:17" x14ac:dyDescent="0.2">
      <c r="A20" s="6"/>
      <c r="C20" s="304" t="s">
        <v>415</v>
      </c>
      <c r="D20" s="301">
        <v>0</v>
      </c>
      <c r="E20" s="301">
        <f>(Projections!$D$30*(Projections!F30/100))*-1</f>
        <v>0</v>
      </c>
      <c r="F20" s="301">
        <f>(Projections!$D$30*(Projections!G30/100))*-1</f>
        <v>0</v>
      </c>
      <c r="G20" s="301">
        <f>(Projections!$D$30*(Projections!H30/100))*-1</f>
        <v>0</v>
      </c>
      <c r="H20" s="301">
        <f>(Projections!$D$30*(Projections!I30/100))*-1</f>
        <v>0</v>
      </c>
      <c r="I20" s="301">
        <f>(Projections!$D$30*(Projections!J30/100))*-1</f>
        <v>0</v>
      </c>
      <c r="J20" s="301">
        <f>(Projections!$D$30*(Projections!K30/100))*-1</f>
        <v>0</v>
      </c>
      <c r="K20" s="301">
        <f>(Projections!$D$30*(Projections!L30/100))*-1</f>
        <v>0</v>
      </c>
      <c r="L20" s="301">
        <f>(Projections!$D$30*(Projections!M30/100))*-1</f>
        <v>0</v>
      </c>
      <c r="M20" s="301">
        <f>(Projections!$D$30*(Projections!N30/100))*-1</f>
        <v>0</v>
      </c>
      <c r="N20" s="301">
        <f>(Projections!$D$30*(Projections!O30/100))*-1</f>
        <v>0</v>
      </c>
      <c r="O20" s="301">
        <f>(Projections!$D$30*(Projections!P30/100))*-1</f>
        <v>0</v>
      </c>
      <c r="P20" s="290">
        <f t="shared" si="2"/>
        <v>0</v>
      </c>
      <c r="Q20" s="7"/>
    </row>
    <row r="21" spans="1:17" x14ac:dyDescent="0.2">
      <c r="A21" s="6"/>
      <c r="C21" s="305" t="s">
        <v>416</v>
      </c>
      <c r="D21" s="290">
        <v>0</v>
      </c>
      <c r="E21" s="290">
        <f>(Projections!$D$31*(Projections!F31/100))*-1</f>
        <v>0</v>
      </c>
      <c r="F21" s="290">
        <f>(Projections!$D$31*(Projections!G31/100))*-1</f>
        <v>0</v>
      </c>
      <c r="G21" s="290">
        <f>(Projections!$D$31*(Projections!H31/100))*-1</f>
        <v>0</v>
      </c>
      <c r="H21" s="290">
        <f>(Projections!$D$31*(Projections!I31/100))*-1</f>
        <v>0</v>
      </c>
      <c r="I21" s="290">
        <f>(Projections!$D$31*(Projections!J31/100))*-1</f>
        <v>0</v>
      </c>
      <c r="J21" s="290">
        <f>(Projections!$D$31*(Projections!K31/100))*-1</f>
        <v>0</v>
      </c>
      <c r="K21" s="290">
        <f>(Projections!$D$31*(Projections!L31/100))*-1</f>
        <v>0</v>
      </c>
      <c r="L21" s="290">
        <f>(Projections!$D$31*(Projections!M31/100))*-1</f>
        <v>0</v>
      </c>
      <c r="M21" s="290">
        <f>(Projections!$D$31*(Projections!N31/100))*-1</f>
        <v>0</v>
      </c>
      <c r="N21" s="290">
        <f>(Projections!$D$31*(Projections!O31/100))*-1</f>
        <v>0</v>
      </c>
      <c r="O21" s="290">
        <f>(Projections!$D$31*(Projections!P31/100))*-1</f>
        <v>0</v>
      </c>
      <c r="P21" s="290">
        <f t="shared" si="2"/>
        <v>0</v>
      </c>
      <c r="Q21" s="7"/>
    </row>
    <row r="22" spans="1:17" x14ac:dyDescent="0.2">
      <c r="A22" s="6"/>
      <c r="C22" s="305" t="s">
        <v>418</v>
      </c>
      <c r="D22" s="290">
        <v>0</v>
      </c>
      <c r="E22" s="290">
        <f>(Projections!$D$32*(Projections!F32/100))*-1</f>
        <v>0</v>
      </c>
      <c r="F22" s="290">
        <f>(Projections!$D$32*(Projections!G32/100))*-1</f>
        <v>0</v>
      </c>
      <c r="G22" s="290">
        <f>(Projections!$D$32*(Projections!H32/100))*-1</f>
        <v>0</v>
      </c>
      <c r="H22" s="290">
        <f>(Projections!$D$32*(Projections!I32/100))*-1</f>
        <v>0</v>
      </c>
      <c r="I22" s="290">
        <f>(Projections!$D$32*(Projections!J32/100))*-1</f>
        <v>0</v>
      </c>
      <c r="J22" s="290">
        <f>(Projections!$D$32*(Projections!K32/100))*-1</f>
        <v>0</v>
      </c>
      <c r="K22" s="290">
        <f>(Projections!$D$32*(Projections!L32/100))*-1</f>
        <v>0</v>
      </c>
      <c r="L22" s="290">
        <f>(Projections!$D$32*(Projections!M32/100))*-1</f>
        <v>0</v>
      </c>
      <c r="M22" s="290">
        <f>(Projections!$D$32*(Projections!N32/100))*-1</f>
        <v>0</v>
      </c>
      <c r="N22" s="290">
        <f>(Projections!$D$32*(Projections!O32/100))*-1</f>
        <v>0</v>
      </c>
      <c r="O22" s="290">
        <f>(Projections!$D$32*(Projections!P32/100))*-1</f>
        <v>0</v>
      </c>
      <c r="P22" s="290">
        <f t="shared" si="2"/>
        <v>0</v>
      </c>
      <c r="Q22" s="7"/>
    </row>
    <row r="23" spans="1:17" x14ac:dyDescent="0.2">
      <c r="A23" s="6"/>
      <c r="C23" s="305" t="s">
        <v>417</v>
      </c>
      <c r="D23" s="290">
        <v>0</v>
      </c>
      <c r="E23" s="290">
        <f>(Projections!$D$33*(Projections!F33/100))*-1</f>
        <v>0</v>
      </c>
      <c r="F23" s="290">
        <f>(Projections!$D$33*(Projections!G33/100))*-1</f>
        <v>0</v>
      </c>
      <c r="G23" s="290">
        <f>(Projections!$D$33*(Projections!H33/100))*-1</f>
        <v>0</v>
      </c>
      <c r="H23" s="290">
        <f>(Projections!$D$33*(Projections!I33/100))*-1</f>
        <v>0</v>
      </c>
      <c r="I23" s="290">
        <f>(Projections!$D$33*(Projections!J33/100))*-1</f>
        <v>0</v>
      </c>
      <c r="J23" s="290">
        <f>(Projections!$D$33*(Projections!K33/100))*-1</f>
        <v>0</v>
      </c>
      <c r="K23" s="290">
        <f>(Projections!$D$33*(Projections!L33/100))*-1</f>
        <v>0</v>
      </c>
      <c r="L23" s="290">
        <f>(Projections!$D$33*(Projections!M33/100))*-1</f>
        <v>0</v>
      </c>
      <c r="M23" s="290">
        <f>(Projections!$D$33*(Projections!N33/100))*-1</f>
        <v>0</v>
      </c>
      <c r="N23" s="290">
        <f>(Projections!$D$33*(Projections!O33/100))*-1</f>
        <v>0</v>
      </c>
      <c r="O23" s="290">
        <f>(Projections!$D$33*(Projections!P33/100))*-1</f>
        <v>0</v>
      </c>
      <c r="P23" s="290">
        <f t="shared" si="2"/>
        <v>0</v>
      </c>
      <c r="Q23" s="7"/>
    </row>
    <row r="24" spans="1:17" x14ac:dyDescent="0.2">
      <c r="A24" s="6"/>
      <c r="C24" s="305" t="s">
        <v>419</v>
      </c>
      <c r="D24" s="290">
        <v>0</v>
      </c>
      <c r="E24" s="290">
        <f>(Projections!$D$34*(Projections!F34/100))*-1</f>
        <v>0</v>
      </c>
      <c r="F24" s="290">
        <f>(Projections!$D$34*(Projections!G34/100))*-1</f>
        <v>0</v>
      </c>
      <c r="G24" s="290">
        <f>(Projections!$D$34*(Projections!H34/100))*-1</f>
        <v>0</v>
      </c>
      <c r="H24" s="290">
        <f>(Projections!$D$34*(Projections!I34/100))*-1</f>
        <v>0</v>
      </c>
      <c r="I24" s="290">
        <f>(Projections!$D$34*(Projections!J34/100))*-1</f>
        <v>0</v>
      </c>
      <c r="J24" s="290">
        <f>(Projections!$D$34*(Projections!K34/100))*-1</f>
        <v>0</v>
      </c>
      <c r="K24" s="290">
        <f>(Projections!$D$34*(Projections!L34/100))*-1</f>
        <v>0</v>
      </c>
      <c r="L24" s="290">
        <f>(Projections!$D$34*(Projections!M34/100))*-1</f>
        <v>0</v>
      </c>
      <c r="M24" s="290">
        <f>(Projections!$D$34*(Projections!N34/100))*-1</f>
        <v>0</v>
      </c>
      <c r="N24" s="290">
        <f>(Projections!$D$34*(Projections!O34/100))*-1</f>
        <v>0</v>
      </c>
      <c r="O24" s="290">
        <f>(Projections!$D$34*(Projections!P34/100))*-1</f>
        <v>0</v>
      </c>
      <c r="P24" s="290">
        <f t="shared" si="2"/>
        <v>0</v>
      </c>
      <c r="Q24" s="7"/>
    </row>
    <row r="25" spans="1:17" x14ac:dyDescent="0.2">
      <c r="A25" s="6"/>
      <c r="C25" s="305" t="s">
        <v>420</v>
      </c>
      <c r="D25" s="290">
        <v>0</v>
      </c>
      <c r="E25" s="290">
        <f>(Projections!$D$35*(Projections!F35/100))*-1</f>
        <v>0</v>
      </c>
      <c r="F25" s="290">
        <f>(Projections!$D$35*(Projections!G35/100))*-1</f>
        <v>0</v>
      </c>
      <c r="G25" s="290">
        <f>(Projections!$D$35*(Projections!H35/100))*-1</f>
        <v>0</v>
      </c>
      <c r="H25" s="290">
        <f>(Projections!$D$35*(Projections!I35/100))*-1</f>
        <v>0</v>
      </c>
      <c r="I25" s="290">
        <f>(Projections!$D$35*(Projections!J35/100))*-1</f>
        <v>0</v>
      </c>
      <c r="J25" s="290">
        <f>(Projections!$D$35*(Projections!K35/100))*-1</f>
        <v>0</v>
      </c>
      <c r="K25" s="290">
        <f>(Projections!$D$35*(Projections!L35/100))*-1</f>
        <v>0</v>
      </c>
      <c r="L25" s="290">
        <f>(Projections!$D$35*(Projections!M35/100))*-1</f>
        <v>0</v>
      </c>
      <c r="M25" s="290">
        <f>(Projections!$D$35*(Projections!N35/100))*-1</f>
        <v>0</v>
      </c>
      <c r="N25" s="290">
        <f>(Projections!$D$35*(Projections!O35/100))*-1</f>
        <v>0</v>
      </c>
      <c r="O25" s="290">
        <f>(Projections!$D$35*(Projections!P35/100))*-1</f>
        <v>0</v>
      </c>
      <c r="P25" s="290">
        <f t="shared" si="2"/>
        <v>0</v>
      </c>
      <c r="Q25" s="7"/>
    </row>
    <row r="26" spans="1:17" x14ac:dyDescent="0.2">
      <c r="A26" s="6"/>
      <c r="C26" s="305" t="s">
        <v>421</v>
      </c>
      <c r="D26" s="290">
        <v>0</v>
      </c>
      <c r="E26" s="290">
        <f>(Projections!$D$36*(Projections!F36/100))*-1</f>
        <v>0</v>
      </c>
      <c r="F26" s="290">
        <f>(Projections!$D$36*(Projections!G36/100))*-1</f>
        <v>0</v>
      </c>
      <c r="G26" s="290">
        <f>(Projections!$D$36*(Projections!H36/100))*-1</f>
        <v>0</v>
      </c>
      <c r="H26" s="290">
        <f>(Projections!$D$36*(Projections!I36/100))*-1</f>
        <v>0</v>
      </c>
      <c r="I26" s="290">
        <f>(Projections!$D$36*(Projections!J36/100))*-1</f>
        <v>0</v>
      </c>
      <c r="J26" s="290">
        <f>(Projections!$D$36*(Projections!K36/100))*-1</f>
        <v>0</v>
      </c>
      <c r="K26" s="290">
        <f>(Projections!$D$36*(Projections!L36/100))*-1</f>
        <v>0</v>
      </c>
      <c r="L26" s="290">
        <f>(Projections!$D$36*(Projections!M36/100))*-1</f>
        <v>0</v>
      </c>
      <c r="M26" s="290">
        <f>(Projections!$D$36*(Projections!N36/100))*-1</f>
        <v>0</v>
      </c>
      <c r="N26" s="290">
        <f>(Projections!$D$36*(Projections!O36/100))*-1</f>
        <v>0</v>
      </c>
      <c r="O26" s="290">
        <f>(Projections!$D$36*(Projections!P36/100))*-1</f>
        <v>0</v>
      </c>
      <c r="P26" s="290">
        <f t="shared" si="2"/>
        <v>0</v>
      </c>
      <c r="Q26" s="7"/>
    </row>
    <row r="27" spans="1:17" x14ac:dyDescent="0.2">
      <c r="A27" s="6"/>
      <c r="C27" s="305" t="s">
        <v>422</v>
      </c>
      <c r="D27" s="290">
        <v>0</v>
      </c>
      <c r="E27" s="290">
        <f>(Projections!$D$37*(Projections!F37/100))*-1</f>
        <v>0</v>
      </c>
      <c r="F27" s="290">
        <f>(Projections!$D$37*(Projections!G37/100))*-1</f>
        <v>0</v>
      </c>
      <c r="G27" s="290">
        <f>(Projections!$D$37*(Projections!H37/100))*-1</f>
        <v>0</v>
      </c>
      <c r="H27" s="290">
        <f>(Projections!$D$37*(Projections!I37/100))*-1</f>
        <v>0</v>
      </c>
      <c r="I27" s="290">
        <f>(Projections!$D$37*(Projections!J37/100))*-1</f>
        <v>0</v>
      </c>
      <c r="J27" s="290">
        <f>(Projections!$D$37*(Projections!K37/100))*-1</f>
        <v>0</v>
      </c>
      <c r="K27" s="290">
        <f>(Projections!$D$37*(Projections!L37/100))*-1</f>
        <v>0</v>
      </c>
      <c r="L27" s="290">
        <f>(Projections!$D$37*(Projections!M37/100))*-1</f>
        <v>0</v>
      </c>
      <c r="M27" s="290">
        <f>(Projections!$D$37*(Projections!N37/100))*-1</f>
        <v>0</v>
      </c>
      <c r="N27" s="290">
        <f>(Projections!$D$37*(Projections!O37/100))*-1</f>
        <v>0</v>
      </c>
      <c r="O27" s="290">
        <f>(Projections!$D$37*(Projections!P37/100))*-1</f>
        <v>0</v>
      </c>
      <c r="P27" s="290">
        <f t="shared" si="2"/>
        <v>0</v>
      </c>
      <c r="Q27" s="7"/>
    </row>
    <row r="28" spans="1:17" x14ac:dyDescent="0.2">
      <c r="A28" s="6"/>
      <c r="C28" s="305" t="s">
        <v>423</v>
      </c>
      <c r="D28" s="290">
        <v>0</v>
      </c>
      <c r="E28" s="290">
        <f>(Projections!$D$38*(Projections!F38/100))*-1</f>
        <v>0</v>
      </c>
      <c r="F28" s="290">
        <f>(Projections!$D$38*(Projections!G38/100))*-1</f>
        <v>0</v>
      </c>
      <c r="G28" s="290">
        <f>(Projections!$D$38*(Projections!H38/100))*-1</f>
        <v>0</v>
      </c>
      <c r="H28" s="290">
        <f>(Projections!$D$38*(Projections!I38/100))*-1</f>
        <v>0</v>
      </c>
      <c r="I28" s="290">
        <f>(Projections!$D$38*(Projections!J38/100))*-1</f>
        <v>0</v>
      </c>
      <c r="J28" s="290">
        <f>(Projections!$D$38*(Projections!K38/100))*-1</f>
        <v>0</v>
      </c>
      <c r="K28" s="290">
        <f>(Projections!$D$38*(Projections!L38/100))*-1</f>
        <v>0</v>
      </c>
      <c r="L28" s="290">
        <f>(Projections!$D$38*(Projections!M38/100))*-1</f>
        <v>0</v>
      </c>
      <c r="M28" s="290">
        <f>(Projections!$D$38*(Projections!N38/100))*-1</f>
        <v>0</v>
      </c>
      <c r="N28" s="290">
        <f>(Projections!$D$38*(Projections!O38/100))*-1</f>
        <v>0</v>
      </c>
      <c r="O28" s="290">
        <f>(Projections!$D$38*(Projections!P38/100))*-1</f>
        <v>0</v>
      </c>
      <c r="P28" s="290">
        <f t="shared" si="2"/>
        <v>0</v>
      </c>
      <c r="Q28" s="7"/>
    </row>
    <row r="29" spans="1:17" x14ac:dyDescent="0.2">
      <c r="A29" s="6"/>
      <c r="C29" s="307" t="s">
        <v>424</v>
      </c>
      <c r="D29" s="290">
        <v>0</v>
      </c>
      <c r="E29" s="290">
        <f>(Projections!$D$39*(Projections!F39/100))*-1</f>
        <v>0</v>
      </c>
      <c r="F29" s="290">
        <f>(Projections!$D$39*(Projections!G39/100))*-1</f>
        <v>0</v>
      </c>
      <c r="G29" s="290">
        <f>(Projections!$D$39*(Projections!H39/100))*-1</f>
        <v>0</v>
      </c>
      <c r="H29" s="290">
        <f>(Projections!$D$39*(Projections!I39/100))*-1</f>
        <v>0</v>
      </c>
      <c r="I29" s="290">
        <f>(Projections!$D$39*(Projections!J39/100))*-1</f>
        <v>0</v>
      </c>
      <c r="J29" s="290">
        <f>(Projections!$D$39*(Projections!K39/100))*-1</f>
        <v>0</v>
      </c>
      <c r="K29" s="290">
        <f>(Projections!$D$39*(Projections!L39/100))*-1</f>
        <v>0</v>
      </c>
      <c r="L29" s="290">
        <f>(Projections!$D$39*(Projections!M39/100))*-1</f>
        <v>0</v>
      </c>
      <c r="M29" s="290">
        <f>(Projections!$D$39*(Projections!N39/100))*-1</f>
        <v>0</v>
      </c>
      <c r="N29" s="290">
        <f>(Projections!$D$39*(Projections!O39/100))*-1</f>
        <v>0</v>
      </c>
      <c r="O29" s="290">
        <f>(Projections!$D$39*(Projections!P39/100))*-1</f>
        <v>0</v>
      </c>
      <c r="P29" s="290">
        <f t="shared" si="2"/>
        <v>0</v>
      </c>
      <c r="Q29" s="7"/>
    </row>
    <row r="30" spans="1:17" x14ac:dyDescent="0.2">
      <c r="A30" s="6"/>
      <c r="C30" s="307" t="s">
        <v>425</v>
      </c>
      <c r="D30" s="290">
        <v>0</v>
      </c>
      <c r="E30" s="290">
        <f>(Projections!$D$40*(Projections!F40/100))*-1</f>
        <v>0</v>
      </c>
      <c r="F30" s="290">
        <f>(Projections!$D$40*(Projections!G40/100))*-1</f>
        <v>0</v>
      </c>
      <c r="G30" s="290">
        <f>(Projections!$D$40*(Projections!H40/100))*-1</f>
        <v>0</v>
      </c>
      <c r="H30" s="290">
        <f>(Projections!$D$40*(Projections!I40/100))*-1</f>
        <v>0</v>
      </c>
      <c r="I30" s="290">
        <f>(Projections!$D$40*(Projections!J40/100))*-1</f>
        <v>0</v>
      </c>
      <c r="J30" s="290">
        <f>(Projections!$D$40*(Projections!K40/100))*-1</f>
        <v>0</v>
      </c>
      <c r="K30" s="290">
        <f>(Projections!$D$40*(Projections!L40/100))*-1</f>
        <v>0</v>
      </c>
      <c r="L30" s="290">
        <f>(Projections!$D$40*(Projections!M40/100))*-1</f>
        <v>0</v>
      </c>
      <c r="M30" s="290">
        <f>(Projections!$D$40*(Projections!N40/100))*-1</f>
        <v>0</v>
      </c>
      <c r="N30" s="290">
        <f>(Projections!$D$40*(Projections!O40/100))*-1</f>
        <v>0</v>
      </c>
      <c r="O30" s="290">
        <f>(Projections!$D$40*(Projections!P40/100))*-1</f>
        <v>0</v>
      </c>
      <c r="P30" s="290">
        <f t="shared" si="2"/>
        <v>0</v>
      </c>
      <c r="Q30" s="7"/>
    </row>
    <row r="31" spans="1:17" x14ac:dyDescent="0.2">
      <c r="A31" s="6"/>
      <c r="C31" s="305" t="s">
        <v>426</v>
      </c>
      <c r="D31" s="290">
        <v>0</v>
      </c>
      <c r="E31" s="290">
        <f>(Projections!$D$41*(Projections!F41/100))*-1</f>
        <v>0</v>
      </c>
      <c r="F31" s="290">
        <f>(Projections!$D$41*(Projections!G41/100))*-1</f>
        <v>0</v>
      </c>
      <c r="G31" s="290">
        <f>(Projections!$D$41*(Projections!H41/100))*-1</f>
        <v>0</v>
      </c>
      <c r="H31" s="290">
        <f>(Projections!$D$41*(Projections!I41/100))*-1</f>
        <v>0</v>
      </c>
      <c r="I31" s="290">
        <f>(Projections!$D$41*(Projections!J41/100))*-1</f>
        <v>0</v>
      </c>
      <c r="J31" s="290">
        <f>(Projections!$D$41*(Projections!K41/100))*-1</f>
        <v>0</v>
      </c>
      <c r="K31" s="290">
        <f>(Projections!$D$41*(Projections!L41/100))*-1</f>
        <v>0</v>
      </c>
      <c r="L31" s="290">
        <f>(Projections!$D$41*(Projections!M41/100))*-1</f>
        <v>0</v>
      </c>
      <c r="M31" s="290">
        <f>(Projections!$D$41*(Projections!N41/100))*-1</f>
        <v>0</v>
      </c>
      <c r="N31" s="290">
        <f>(Projections!$D$41*(Projections!O41/100))*-1</f>
        <v>0</v>
      </c>
      <c r="O31" s="290">
        <f>(Projections!$D$41*(Projections!P41/100))*-1</f>
        <v>0</v>
      </c>
      <c r="P31" s="290">
        <f t="shared" si="2"/>
        <v>0</v>
      </c>
      <c r="Q31" s="7"/>
    </row>
    <row r="32" spans="1:17" x14ac:dyDescent="0.2">
      <c r="A32" s="6"/>
      <c r="C32" s="306" t="s">
        <v>466</v>
      </c>
      <c r="D32" s="290">
        <v>0</v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>
        <f t="shared" si="2"/>
        <v>0</v>
      </c>
      <c r="Q32" s="7"/>
    </row>
    <row r="33" spans="1:17" x14ac:dyDescent="0.2">
      <c r="A33" s="6"/>
      <c r="C33" s="306" t="s">
        <v>467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>
        <f t="shared" si="2"/>
        <v>0</v>
      </c>
      <c r="Q33" s="7"/>
    </row>
    <row r="34" spans="1:17" x14ac:dyDescent="0.2">
      <c r="A34" s="6"/>
      <c r="C34" s="306" t="s">
        <v>468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>
        <f t="shared" si="2"/>
        <v>0</v>
      </c>
      <c r="Q34" s="7"/>
    </row>
    <row r="35" spans="1:17" x14ac:dyDescent="0.2">
      <c r="A35" s="6"/>
      <c r="C35" s="303" t="s">
        <v>428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>
        <f t="shared" si="2"/>
        <v>0</v>
      </c>
      <c r="Q35" s="7"/>
    </row>
    <row r="36" spans="1:17" x14ac:dyDescent="0.2">
      <c r="A36" s="6"/>
      <c r="C36" s="299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7"/>
    </row>
    <row r="37" spans="1:17" x14ac:dyDescent="0.2">
      <c r="A37" s="6"/>
      <c r="C37" s="298" t="s">
        <v>469</v>
      </c>
      <c r="D37" s="312">
        <f>SUM(D38:D49)</f>
        <v>-60352</v>
      </c>
      <c r="E37" s="312">
        <f>SUM(E38:E49)</f>
        <v>-60352</v>
      </c>
      <c r="F37" s="312">
        <f>SUM(F38:F49)</f>
        <v>-60352</v>
      </c>
      <c r="G37" s="312">
        <f t="shared" ref="G37:O37" si="3">SUM(G38:G49)</f>
        <v>-60352</v>
      </c>
      <c r="H37" s="312">
        <f t="shared" si="3"/>
        <v>-60352</v>
      </c>
      <c r="I37" s="312">
        <f t="shared" si="3"/>
        <v>-95352</v>
      </c>
      <c r="J37" s="312">
        <f t="shared" si="3"/>
        <v>-60352</v>
      </c>
      <c r="K37" s="312">
        <f t="shared" si="3"/>
        <v>-60352</v>
      </c>
      <c r="L37" s="312">
        <f t="shared" si="3"/>
        <v>-60352</v>
      </c>
      <c r="M37" s="312">
        <f t="shared" si="3"/>
        <v>-60352</v>
      </c>
      <c r="N37" s="312">
        <f t="shared" si="3"/>
        <v>-60352</v>
      </c>
      <c r="O37" s="312">
        <f t="shared" si="3"/>
        <v>-95352</v>
      </c>
      <c r="P37" s="315">
        <f t="shared" si="2"/>
        <v>-794224</v>
      </c>
      <c r="Q37" s="7"/>
    </row>
    <row r="38" spans="1:17" x14ac:dyDescent="0.2">
      <c r="A38" s="6"/>
      <c r="C38" s="304" t="s">
        <v>430</v>
      </c>
      <c r="D38" s="301">
        <f>(Projections!$D49*(Projections!E49/100))*-1</f>
        <v>0</v>
      </c>
      <c r="E38" s="301">
        <f>(Projections!$D49*(Projections!F49/100))*-1</f>
        <v>0</v>
      </c>
      <c r="F38" s="301">
        <f>(Projections!$D49*(Projections!G49/100))*-1</f>
        <v>0</v>
      </c>
      <c r="G38" s="301">
        <f>(Projections!$D49*(Projections!H49/100))*-1</f>
        <v>0</v>
      </c>
      <c r="H38" s="301">
        <f>(Projections!$D49*(Projections!I49/100))*-1</f>
        <v>0</v>
      </c>
      <c r="I38" s="301">
        <f>(Projections!$D49*(Projections!J49/100))*-1</f>
        <v>-20000</v>
      </c>
      <c r="J38" s="301">
        <f>(Projections!$D49*(Projections!K49/100))*-1</f>
        <v>0</v>
      </c>
      <c r="K38" s="301">
        <f>(Projections!$D49*(Projections!L49/100))*-1</f>
        <v>0</v>
      </c>
      <c r="L38" s="301">
        <f>(Projections!$D49*(Projections!M49/100))*-1</f>
        <v>0</v>
      </c>
      <c r="M38" s="301">
        <f>(Projections!$D49*(Projections!N49/100))*-1</f>
        <v>0</v>
      </c>
      <c r="N38" s="301">
        <f>(Projections!$D49*(Projections!O49/100))*-1</f>
        <v>0</v>
      </c>
      <c r="O38" s="301">
        <f>(Projections!$D49*(Projections!P49/100))*-1</f>
        <v>-20000</v>
      </c>
      <c r="P38" s="290">
        <f t="shared" si="2"/>
        <v>-40000</v>
      </c>
      <c r="Q38" s="7"/>
    </row>
    <row r="39" spans="1:17" x14ac:dyDescent="0.2">
      <c r="A39" s="6"/>
      <c r="C39" s="305" t="s">
        <v>431</v>
      </c>
      <c r="D39" s="290">
        <f>(Projections!$D50*(Projections!E50/100))*-1</f>
        <v>0</v>
      </c>
      <c r="E39" s="290">
        <f>(Projections!$D50*(Projections!F50/100))*-1</f>
        <v>0</v>
      </c>
      <c r="F39" s="290">
        <f>(Projections!$D50*(Projections!G50/100))*-1</f>
        <v>0</v>
      </c>
      <c r="G39" s="290">
        <f>(Projections!$D50*(Projections!H50/100))*-1</f>
        <v>0</v>
      </c>
      <c r="H39" s="290">
        <f>(Projections!$D50*(Projections!I50/100))*-1</f>
        <v>0</v>
      </c>
      <c r="I39" s="290">
        <f>(Projections!$D50*(Projections!J50/100))*-1</f>
        <v>-15000</v>
      </c>
      <c r="J39" s="290">
        <f>(Projections!$D50*(Projections!K50/100))*-1</f>
        <v>0</v>
      </c>
      <c r="K39" s="290">
        <f>(Projections!$D50*(Projections!L50/100))*-1</f>
        <v>0</v>
      </c>
      <c r="L39" s="290">
        <f>(Projections!$D50*(Projections!M50/100))*-1</f>
        <v>0</v>
      </c>
      <c r="M39" s="290">
        <f>(Projections!$D50*(Projections!N50/100))*-1</f>
        <v>0</v>
      </c>
      <c r="N39" s="290">
        <f>(Projections!$D50*(Projections!O50/100))*-1</f>
        <v>0</v>
      </c>
      <c r="O39" s="290">
        <f>(Projections!$D50*(Projections!P50/100))*-1</f>
        <v>-15000</v>
      </c>
      <c r="P39" s="290">
        <f t="shared" si="2"/>
        <v>-30000</v>
      </c>
      <c r="Q39" s="7"/>
    </row>
    <row r="40" spans="1:17" x14ac:dyDescent="0.2">
      <c r="A40" s="6"/>
      <c r="C40" s="306" t="s">
        <v>185</v>
      </c>
      <c r="D40" s="290">
        <f>(Projections!$D51*(Projections!E51/100))*-1</f>
        <v>-7680</v>
      </c>
      <c r="E40" s="290">
        <f>(Projections!$D51*(Projections!F51/100))*-1</f>
        <v>-7680</v>
      </c>
      <c r="F40" s="290">
        <f>(Projections!$D51*(Projections!G51/100))*-1</f>
        <v>-7680</v>
      </c>
      <c r="G40" s="290">
        <f>(Projections!$D51*(Projections!H51/100))*-1</f>
        <v>-7680</v>
      </c>
      <c r="H40" s="290">
        <f>(Projections!$D51*(Projections!I51/100))*-1</f>
        <v>-7680</v>
      </c>
      <c r="I40" s="290">
        <f>(Projections!$D51*(Projections!J51/100))*-1</f>
        <v>-7680</v>
      </c>
      <c r="J40" s="290">
        <f>(Projections!$D51*(Projections!K51/100))*-1</f>
        <v>-7680</v>
      </c>
      <c r="K40" s="290">
        <f>(Projections!$D51*(Projections!L51/100))*-1</f>
        <v>-7680</v>
      </c>
      <c r="L40" s="290">
        <f>(Projections!$D51*(Projections!M51/100))*-1</f>
        <v>-7680</v>
      </c>
      <c r="M40" s="290">
        <f>(Projections!$D51*(Projections!N51/100))*-1</f>
        <v>-7680</v>
      </c>
      <c r="N40" s="290">
        <f>(Projections!$D51*(Projections!O51/100))*-1</f>
        <v>-7680</v>
      </c>
      <c r="O40" s="290">
        <f>(Projections!$D51*(Projections!P51/100))*-1</f>
        <v>-7680</v>
      </c>
      <c r="P40" s="290">
        <f t="shared" si="2"/>
        <v>-92160</v>
      </c>
      <c r="Q40" s="7"/>
    </row>
    <row r="41" spans="1:17" x14ac:dyDescent="0.2">
      <c r="A41" s="6"/>
      <c r="C41" s="306" t="s">
        <v>186</v>
      </c>
      <c r="D41" s="290">
        <f>(Projections!$D$52*(Projections!E52/100))*-1</f>
        <v>-640</v>
      </c>
      <c r="E41" s="290">
        <f>(Projections!$D$52*(Projections!F52/100))*-1</f>
        <v>-640</v>
      </c>
      <c r="F41" s="290">
        <f>(Projections!$D$52*(Projections!G52/100))*-1</f>
        <v>-640</v>
      </c>
      <c r="G41" s="290">
        <f>(Projections!$D$52*(Projections!H52/100))*-1</f>
        <v>-640</v>
      </c>
      <c r="H41" s="290">
        <f>(Projections!$D$52*(Projections!I52/100))*-1</f>
        <v>-640</v>
      </c>
      <c r="I41" s="290">
        <f>(Projections!$D$52*(Projections!J52/100))*-1</f>
        <v>-640</v>
      </c>
      <c r="J41" s="290">
        <f>(Projections!$D$52*(Projections!K52/100))*-1</f>
        <v>-640</v>
      </c>
      <c r="K41" s="290">
        <f>(Projections!$D$52*(Projections!L52/100))*-1</f>
        <v>-640</v>
      </c>
      <c r="L41" s="290">
        <f>(Projections!$D$52*(Projections!M52/100))*-1</f>
        <v>-640</v>
      </c>
      <c r="M41" s="290">
        <f>(Projections!$D$52*(Projections!N52/100))*-1</f>
        <v>-640</v>
      </c>
      <c r="N41" s="290">
        <f>(Projections!$D$52*(Projections!O52/100))*-1</f>
        <v>-640</v>
      </c>
      <c r="O41" s="290">
        <f>(Projections!$D$52*(Projections!P52/100))*-1</f>
        <v>-640</v>
      </c>
      <c r="P41" s="290">
        <f t="shared" si="2"/>
        <v>-7680</v>
      </c>
      <c r="Q41" s="7"/>
    </row>
    <row r="42" spans="1:17" x14ac:dyDescent="0.2">
      <c r="A42" s="6"/>
      <c r="C42" s="306" t="s">
        <v>187</v>
      </c>
      <c r="D42" s="290">
        <f>(Projections!$D$53*(Projections!E53/100))*-1</f>
        <v>-960</v>
      </c>
      <c r="E42" s="290">
        <f>(Projections!$D$53*(Projections!F53/100))*-1</f>
        <v>-960</v>
      </c>
      <c r="F42" s="290">
        <f>(Projections!$D$53*(Projections!G53/100))*-1</f>
        <v>-960</v>
      </c>
      <c r="G42" s="290">
        <f>(Projections!$D$53*(Projections!H53/100))*-1</f>
        <v>-960</v>
      </c>
      <c r="H42" s="290">
        <f>(Projections!$D$53*(Projections!I53/100))*-1</f>
        <v>-960</v>
      </c>
      <c r="I42" s="290">
        <f>(Projections!$D$53*(Projections!J53/100))*-1</f>
        <v>-960</v>
      </c>
      <c r="J42" s="290">
        <f>(Projections!$D$53*(Projections!K53/100))*-1</f>
        <v>-960</v>
      </c>
      <c r="K42" s="290">
        <f>(Projections!$D$53*(Projections!L53/100))*-1</f>
        <v>-960</v>
      </c>
      <c r="L42" s="290">
        <f>(Projections!$D$53*(Projections!M53/100))*-1</f>
        <v>-960</v>
      </c>
      <c r="M42" s="290">
        <f>(Projections!$D$53*(Projections!N53/100))*-1</f>
        <v>-960</v>
      </c>
      <c r="N42" s="290">
        <f>(Projections!$D$53*(Projections!O53/100))*-1</f>
        <v>-960</v>
      </c>
      <c r="O42" s="290">
        <f>(Projections!$D$53*(Projections!P53/100))*-1</f>
        <v>-960</v>
      </c>
      <c r="P42" s="290">
        <f t="shared" si="2"/>
        <v>-11520</v>
      </c>
      <c r="Q42" s="7"/>
    </row>
    <row r="43" spans="1:17" x14ac:dyDescent="0.2">
      <c r="A43" s="6"/>
      <c r="C43" s="306" t="s">
        <v>191</v>
      </c>
      <c r="D43" s="290">
        <f>(Projections!$D$54*(Projections!E54/100))*-1</f>
        <v>-1152</v>
      </c>
      <c r="E43" s="290">
        <f>(Projections!$D$54*(Projections!F54/100))*-1</f>
        <v>-1152</v>
      </c>
      <c r="F43" s="290">
        <f>(Projections!$D$54*(Projections!G54/100))*-1</f>
        <v>-1152</v>
      </c>
      <c r="G43" s="290">
        <f>(Projections!$D$54*(Projections!H54/100))*-1</f>
        <v>-1152</v>
      </c>
      <c r="H43" s="290">
        <f>(Projections!$D$54*(Projections!I54/100))*-1</f>
        <v>-1152</v>
      </c>
      <c r="I43" s="290">
        <f>(Projections!$D$54*(Projections!J54/100))*-1</f>
        <v>-1152</v>
      </c>
      <c r="J43" s="290">
        <f>(Projections!$D$54*(Projections!K54/100))*-1</f>
        <v>-1152</v>
      </c>
      <c r="K43" s="290">
        <f>(Projections!$D$54*(Projections!L54/100))*-1</f>
        <v>-1152</v>
      </c>
      <c r="L43" s="290">
        <f>(Projections!$D$54*(Projections!M54/100))*-1</f>
        <v>-1152</v>
      </c>
      <c r="M43" s="290">
        <f>(Projections!$D$54*(Projections!N54/100))*-1</f>
        <v>-1152</v>
      </c>
      <c r="N43" s="290">
        <f>(Projections!$D$54*(Projections!O54/100))*-1</f>
        <v>-1152</v>
      </c>
      <c r="O43" s="290">
        <f>(Projections!$D$54*(Projections!P54/100))*-1</f>
        <v>-1152</v>
      </c>
      <c r="P43" s="290">
        <f t="shared" si="2"/>
        <v>-13824</v>
      </c>
      <c r="Q43" s="7"/>
    </row>
    <row r="44" spans="1:17" x14ac:dyDescent="0.2">
      <c r="A44" s="6"/>
      <c r="C44" s="306" t="s">
        <v>193</v>
      </c>
      <c r="D44" s="290">
        <f>(Projections!$D$55*(Projections!E55/100))*-1</f>
        <v>0</v>
      </c>
      <c r="E44" s="290">
        <f>(Projections!$D$55*(Projections!F55/100))*-1</f>
        <v>0</v>
      </c>
      <c r="F44" s="290">
        <f>(Projections!$D$55*(Projections!G55/100))*-1</f>
        <v>0</v>
      </c>
      <c r="G44" s="290">
        <f>(Projections!$D$55*(Projections!H55/100))*-1</f>
        <v>0</v>
      </c>
      <c r="H44" s="290">
        <f>(Projections!$D$55*(Projections!I55/100))*-1</f>
        <v>0</v>
      </c>
      <c r="I44" s="290">
        <f>(Projections!$D$55*(Projections!J55/100))*-1</f>
        <v>0</v>
      </c>
      <c r="J44" s="290">
        <f>(Projections!$D$55*(Projections!K55/100))*-1</f>
        <v>0</v>
      </c>
      <c r="K44" s="290">
        <f>(Projections!$D$55*(Projections!L55/100))*-1</f>
        <v>0</v>
      </c>
      <c r="L44" s="290">
        <f>(Projections!$D$55*(Projections!M55/100))*-1</f>
        <v>0</v>
      </c>
      <c r="M44" s="290">
        <f>(Projections!$D$55*(Projections!N55/100))*-1</f>
        <v>0</v>
      </c>
      <c r="N44" s="290">
        <f>(Projections!$D$55*(Projections!O55/100))*-1</f>
        <v>0</v>
      </c>
      <c r="O44" s="290">
        <f>(Projections!$D$55*(Projections!P55/100))*-1</f>
        <v>0</v>
      </c>
      <c r="P44" s="290">
        <f t="shared" si="2"/>
        <v>0</v>
      </c>
      <c r="Q44" s="7"/>
    </row>
    <row r="45" spans="1:17" x14ac:dyDescent="0.2">
      <c r="A45" s="6"/>
      <c r="C45" s="306" t="s">
        <v>188</v>
      </c>
      <c r="D45" s="290">
        <f>(Projections!$D$56*(Projections!E56/100))*-1</f>
        <v>-28800</v>
      </c>
      <c r="E45" s="290">
        <f>(Projections!$D$56*(Projections!F56/100))*-1</f>
        <v>-28800</v>
      </c>
      <c r="F45" s="290">
        <f>(Projections!$D$56*(Projections!G56/100))*-1</f>
        <v>-28800</v>
      </c>
      <c r="G45" s="290">
        <f>(Projections!$D$56*(Projections!H56/100))*-1</f>
        <v>-28800</v>
      </c>
      <c r="H45" s="290">
        <f>(Projections!$D$56*(Projections!I56/100))*-1</f>
        <v>-28800</v>
      </c>
      <c r="I45" s="290">
        <f>(Projections!$D$56*(Projections!J56/100))*-1</f>
        <v>-28800</v>
      </c>
      <c r="J45" s="290">
        <f>(Projections!$D$56*(Projections!K56/100))*-1</f>
        <v>-28800</v>
      </c>
      <c r="K45" s="290">
        <f>(Projections!$D$56*(Projections!L56/100))*-1</f>
        <v>-28800</v>
      </c>
      <c r="L45" s="290">
        <f>(Projections!$D$56*(Projections!M56/100))*-1</f>
        <v>-28800</v>
      </c>
      <c r="M45" s="290">
        <f>(Projections!$D$56*(Projections!N56/100))*-1</f>
        <v>-28800</v>
      </c>
      <c r="N45" s="290">
        <f>(Projections!$D$56*(Projections!O56/100))*-1</f>
        <v>-28800</v>
      </c>
      <c r="O45" s="290">
        <f>(Projections!$D$56*(Projections!P56/100))*-1</f>
        <v>-28800</v>
      </c>
      <c r="P45" s="290">
        <f t="shared" si="2"/>
        <v>-345600</v>
      </c>
      <c r="Q45" s="7"/>
    </row>
    <row r="46" spans="1:17" x14ac:dyDescent="0.2">
      <c r="A46" s="6"/>
      <c r="C46" s="306" t="s">
        <v>189</v>
      </c>
      <c r="D46" s="290">
        <f>(Projections!$D$57*(Projections!E57/100))*-1</f>
        <v>-2400</v>
      </c>
      <c r="E46" s="290">
        <f>(Projections!$D$57*(Projections!F57/100))*-1</f>
        <v>-2400</v>
      </c>
      <c r="F46" s="290">
        <f>(Projections!$D$57*(Projections!G57/100))*-1</f>
        <v>-2400</v>
      </c>
      <c r="G46" s="290">
        <f>(Projections!$D$57*(Projections!H57/100))*-1</f>
        <v>-2400</v>
      </c>
      <c r="H46" s="290">
        <f>(Projections!$D$57*(Projections!I57/100))*-1</f>
        <v>-2400</v>
      </c>
      <c r="I46" s="290">
        <f>(Projections!$D$57*(Projections!J57/100))*-1</f>
        <v>-2400</v>
      </c>
      <c r="J46" s="290">
        <f>(Projections!$D$57*(Projections!K57/100))*-1</f>
        <v>-2400</v>
      </c>
      <c r="K46" s="290">
        <f>(Projections!$D$57*(Projections!L57/100))*-1</f>
        <v>-2400</v>
      </c>
      <c r="L46" s="290">
        <f>(Projections!$D$57*(Projections!M57/100))*-1</f>
        <v>-2400</v>
      </c>
      <c r="M46" s="290">
        <f>(Projections!$D$57*(Projections!N57/100))*-1</f>
        <v>-2400</v>
      </c>
      <c r="N46" s="290">
        <f>(Projections!$D$57*(Projections!O57/100))*-1</f>
        <v>-2400</v>
      </c>
      <c r="O46" s="290">
        <f>(Projections!$D$57*(Projections!P57/100))*-1</f>
        <v>-2400</v>
      </c>
      <c r="P46" s="290">
        <f t="shared" si="2"/>
        <v>-28800</v>
      </c>
      <c r="Q46" s="7"/>
    </row>
    <row r="47" spans="1:17" x14ac:dyDescent="0.2">
      <c r="A47" s="6"/>
      <c r="C47" s="306" t="s">
        <v>190</v>
      </c>
      <c r="D47" s="290">
        <f>(Projections!$D$58*(Projections!E58/100))*-1</f>
        <v>-11520</v>
      </c>
      <c r="E47" s="290">
        <f>(Projections!$D$58*(Projections!F58/100))*-1</f>
        <v>-11520</v>
      </c>
      <c r="F47" s="290">
        <f>(Projections!$D$58*(Projections!G58/100))*-1</f>
        <v>-11520</v>
      </c>
      <c r="G47" s="290">
        <f>(Projections!$D$58*(Projections!H58/100))*-1</f>
        <v>-11520</v>
      </c>
      <c r="H47" s="290">
        <f>(Projections!$D$58*(Projections!I58/100))*-1</f>
        <v>-11520</v>
      </c>
      <c r="I47" s="290">
        <f>(Projections!$D$58*(Projections!J58/100))*-1</f>
        <v>-11520</v>
      </c>
      <c r="J47" s="290">
        <f>(Projections!$D$58*(Projections!K58/100))*-1</f>
        <v>-11520</v>
      </c>
      <c r="K47" s="290">
        <f>(Projections!$D$58*(Projections!L58/100))*-1</f>
        <v>-11520</v>
      </c>
      <c r="L47" s="290">
        <f>(Projections!$D$58*(Projections!M58/100))*-1</f>
        <v>-11520</v>
      </c>
      <c r="M47" s="290">
        <f>(Projections!$D$58*(Projections!N58/100))*-1</f>
        <v>-11520</v>
      </c>
      <c r="N47" s="290">
        <f>(Projections!$D$58*(Projections!O58/100))*-1</f>
        <v>-11520</v>
      </c>
      <c r="O47" s="290">
        <f>(Projections!$D$58*(Projections!P58/100))*-1</f>
        <v>-11520</v>
      </c>
      <c r="P47" s="290">
        <f t="shared" si="2"/>
        <v>-138240</v>
      </c>
      <c r="Q47" s="7"/>
    </row>
    <row r="48" spans="1:17" x14ac:dyDescent="0.2">
      <c r="A48" s="6"/>
      <c r="C48" s="306" t="s">
        <v>192</v>
      </c>
      <c r="D48" s="290">
        <f>(Projections!$D$59*(Projections!E59/100))*-1</f>
        <v>-7200</v>
      </c>
      <c r="E48" s="290">
        <f>(Projections!$D$59*(Projections!F59/100))*-1</f>
        <v>-7200</v>
      </c>
      <c r="F48" s="290">
        <f>(Projections!$D$59*(Projections!G59/100))*-1</f>
        <v>-7200</v>
      </c>
      <c r="G48" s="290">
        <f>(Projections!$D$59*(Projections!H59/100))*-1</f>
        <v>-7200</v>
      </c>
      <c r="H48" s="290">
        <f>(Projections!$D$59*(Projections!I59/100))*-1</f>
        <v>-7200</v>
      </c>
      <c r="I48" s="290">
        <f>(Projections!$D$59*(Projections!J59/100))*-1</f>
        <v>-7200</v>
      </c>
      <c r="J48" s="290">
        <f>(Projections!$D$59*(Projections!K59/100))*-1</f>
        <v>-7200</v>
      </c>
      <c r="K48" s="290">
        <f>(Projections!$D$59*(Projections!L59/100))*-1</f>
        <v>-7200</v>
      </c>
      <c r="L48" s="290">
        <f>(Projections!$D$59*(Projections!M59/100))*-1</f>
        <v>-7200</v>
      </c>
      <c r="M48" s="290">
        <f>(Projections!$D$59*(Projections!N59/100))*-1</f>
        <v>-7200</v>
      </c>
      <c r="N48" s="290">
        <f>(Projections!$D$59*(Projections!O59/100))*-1</f>
        <v>-7200</v>
      </c>
      <c r="O48" s="290">
        <f>(Projections!$D$59*(Projections!P59/100))*-1</f>
        <v>-7200</v>
      </c>
      <c r="P48" s="290">
        <f t="shared" si="2"/>
        <v>-86400</v>
      </c>
      <c r="Q48" s="7"/>
    </row>
    <row r="49" spans="1:17" x14ac:dyDescent="0.2">
      <c r="A49" s="6"/>
      <c r="C49" s="303" t="s">
        <v>194</v>
      </c>
      <c r="D49" s="291">
        <f>(Projections!$D$60*(Projections!E60/100))*-1</f>
        <v>0</v>
      </c>
      <c r="E49" s="291">
        <f>(Projections!$D$60*(Projections!F60/100))*-1</f>
        <v>0</v>
      </c>
      <c r="F49" s="291">
        <f>(Projections!$D$60*(Projections!G60/100))*-1</f>
        <v>0</v>
      </c>
      <c r="G49" s="291">
        <f>(Projections!$D$60*(Projections!H60/100))*-1</f>
        <v>0</v>
      </c>
      <c r="H49" s="291">
        <f>(Projections!$D$60*(Projections!I60/100))*-1</f>
        <v>0</v>
      </c>
      <c r="I49" s="291">
        <f>(Projections!$D$60*(Projections!J60/100))*-1</f>
        <v>0</v>
      </c>
      <c r="J49" s="291">
        <f>(Projections!$D$60*(Projections!K60/100))*-1</f>
        <v>0</v>
      </c>
      <c r="K49" s="291">
        <f>(Projections!$D$60*(Projections!L60/100))*-1</f>
        <v>0</v>
      </c>
      <c r="L49" s="291">
        <f>(Projections!$D$60*(Projections!M60/100))*-1</f>
        <v>0</v>
      </c>
      <c r="M49" s="291">
        <f>(Projections!$D$60*(Projections!N60/100))*-1</f>
        <v>0</v>
      </c>
      <c r="N49" s="291">
        <f>(Projections!$D$60*(Projections!O60/100))*-1</f>
        <v>0</v>
      </c>
      <c r="O49" s="291">
        <f>(Projections!$D$60*(Projections!P60/100))*-1</f>
        <v>0</v>
      </c>
      <c r="P49" s="291">
        <f t="shared" si="2"/>
        <v>0</v>
      </c>
      <c r="Q49" s="7"/>
    </row>
    <row r="50" spans="1:17" x14ac:dyDescent="0.2">
      <c r="A50" s="6"/>
      <c r="C50" s="298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7"/>
    </row>
    <row r="51" spans="1:17" x14ac:dyDescent="0.2">
      <c r="A51" s="6"/>
      <c r="C51" s="298" t="s">
        <v>411</v>
      </c>
      <c r="D51" s="312">
        <f>SUM(D52:D53)</f>
        <v>-17229.166666666668</v>
      </c>
      <c r="E51" s="312">
        <f>SUM(E52:E53)</f>
        <v>-161984.72222222222</v>
      </c>
      <c r="F51" s="312">
        <f>SUM(F52:F53)</f>
        <v>-15840.277777777781</v>
      </c>
      <c r="G51" s="312">
        <f t="shared" ref="G51:O51" si="4">SUM(G52:G53)</f>
        <v>-15145.833333333334</v>
      </c>
      <c r="H51" s="312">
        <f t="shared" si="4"/>
        <v>-16251.388888888891</v>
      </c>
      <c r="I51" s="312">
        <f t="shared" si="4"/>
        <v>-157406.94444444444</v>
      </c>
      <c r="J51" s="312">
        <f t="shared" si="4"/>
        <v>-13062.500000000002</v>
      </c>
      <c r="K51" s="312">
        <f t="shared" si="4"/>
        <v>-14168.055555555557</v>
      </c>
      <c r="L51" s="312">
        <f t="shared" si="4"/>
        <v>-11673.611111111115</v>
      </c>
      <c r="M51" s="312">
        <f t="shared" si="4"/>
        <v>-10979.166666666668</v>
      </c>
      <c r="N51" s="312">
        <f t="shared" si="4"/>
        <v>-12084.722222222224</v>
      </c>
      <c r="O51" s="312">
        <f t="shared" si="4"/>
        <v>-9590.2777777777792</v>
      </c>
      <c r="P51" s="315">
        <f t="shared" si="2"/>
        <v>-455416.66666666669</v>
      </c>
      <c r="Q51" s="7"/>
    </row>
    <row r="52" spans="1:17" x14ac:dyDescent="0.2">
      <c r="A52" s="6"/>
      <c r="C52" s="302" t="s">
        <v>470</v>
      </c>
      <c r="D52" s="301">
        <f>(Projections!T2)*-1</f>
        <v>-562.50000000000011</v>
      </c>
      <c r="E52" s="301">
        <f>(Projections!U2)*-1</f>
        <v>-146012.5</v>
      </c>
      <c r="F52" s="301">
        <f>(Projections!V2)*-1</f>
        <v>-562.50000000000011</v>
      </c>
      <c r="G52" s="301">
        <f>(Projections!W2)*-1</f>
        <v>-562.50000000000011</v>
      </c>
      <c r="H52" s="301">
        <f>(Projections!X2)*-1</f>
        <v>-2362.5</v>
      </c>
      <c r="I52" s="301">
        <f>(Projections!Y2)*-1</f>
        <v>-144212.5</v>
      </c>
      <c r="J52" s="301">
        <f>(Projections!Z2)*-1</f>
        <v>-562.50000000000011</v>
      </c>
      <c r="K52" s="301">
        <f>(Projections!AA2)*-1</f>
        <v>-2362.5</v>
      </c>
      <c r="L52" s="301">
        <f>(Projections!AB2)*-1</f>
        <v>-562.50000000000011</v>
      </c>
      <c r="M52" s="301">
        <f>(Projections!AC2)*-1</f>
        <v>-562.50000000000011</v>
      </c>
      <c r="N52" s="301">
        <f>(Projections!AD2)*-1</f>
        <v>-2362.5</v>
      </c>
      <c r="O52" s="301">
        <f>(Projections!AE2)*-1</f>
        <v>-562.50000000000011</v>
      </c>
      <c r="P52" s="290">
        <f t="shared" si="2"/>
        <v>-301250</v>
      </c>
      <c r="Q52" s="7"/>
    </row>
    <row r="53" spans="1:17" x14ac:dyDescent="0.2">
      <c r="A53" s="6"/>
      <c r="C53" s="303" t="s">
        <v>471</v>
      </c>
      <c r="D53" s="291">
        <f>+($D$6*$D$7/100/12)*-1</f>
        <v>-16666.666666666668</v>
      </c>
      <c r="E53" s="291">
        <f>+(($D$6+SUM(D62:D62))*$D$7/100/12)*-1</f>
        <v>-15972.222222222226</v>
      </c>
      <c r="F53" s="291">
        <f>+(($D$6+SUM(D62:E62))*$D$7/100/12)*-1</f>
        <v>-15277.777777777781</v>
      </c>
      <c r="G53" s="291">
        <f>+(($D$6+SUM(D62:F62))*$D$7/100/12)*-1</f>
        <v>-14583.333333333334</v>
      </c>
      <c r="H53" s="291">
        <f>+(($D$6+SUM(D62:G62))*$D$7/100/12)*-1</f>
        <v>-13888.888888888891</v>
      </c>
      <c r="I53" s="291">
        <f>+(($D$6+SUM(D62:H62))*$D$7/100/12)*-1</f>
        <v>-13194.444444444447</v>
      </c>
      <c r="J53" s="291">
        <f>+(($D$6+SUM(D62:I62))*$D$7/100/12)*-1</f>
        <v>-12500.000000000002</v>
      </c>
      <c r="K53" s="291">
        <f>+(($D$6+SUM(D62:J62))*$D$7/100/12)*-1</f>
        <v>-11805.555555555557</v>
      </c>
      <c r="L53" s="291">
        <f>+(($D$6+SUM(D62:K62))*$D$7/100/12)*-1</f>
        <v>-11111.111111111115</v>
      </c>
      <c r="M53" s="291">
        <f>+(($D$6+SUM(D62:L62))*$D$7/100/12)*-1</f>
        <v>-10416.666666666668</v>
      </c>
      <c r="N53" s="291">
        <f>+(($D$6+SUM(D62:M62))*$D$7/100/12)*-1</f>
        <v>-9722.2222222222244</v>
      </c>
      <c r="O53" s="291">
        <f>+(($D$6+SUM(D62:N62))*$D$7/100/12)*-1</f>
        <v>-9027.7777777777792</v>
      </c>
      <c r="P53" s="291">
        <f t="shared" si="2"/>
        <v>-154166.66666666669</v>
      </c>
      <c r="Q53" s="7"/>
    </row>
    <row r="54" spans="1:17" x14ac:dyDescent="0.2">
      <c r="A54" s="6"/>
      <c r="C54" s="298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7"/>
    </row>
    <row r="55" spans="1:17" x14ac:dyDescent="0.2">
      <c r="A55" s="6"/>
      <c r="P55" s="310"/>
      <c r="Q55" s="7"/>
    </row>
    <row r="56" spans="1:17" x14ac:dyDescent="0.2">
      <c r="A56" s="6"/>
      <c r="C56" s="66" t="s">
        <v>472</v>
      </c>
      <c r="D56" s="292">
        <f>(D51+D37)</f>
        <v>-77581.166666666672</v>
      </c>
      <c r="E56" s="292">
        <f t="shared" ref="E56:O56" si="5">(E51+E37)</f>
        <v>-222336.72222222222</v>
      </c>
      <c r="F56" s="292">
        <f t="shared" si="5"/>
        <v>-76192.277777777781</v>
      </c>
      <c r="G56" s="292">
        <f t="shared" si="5"/>
        <v>-75497.833333333328</v>
      </c>
      <c r="H56" s="292">
        <f t="shared" si="5"/>
        <v>-76603.388888888891</v>
      </c>
      <c r="I56" s="292">
        <f t="shared" si="5"/>
        <v>-252758.94444444444</v>
      </c>
      <c r="J56" s="292">
        <f t="shared" si="5"/>
        <v>-73414.5</v>
      </c>
      <c r="K56" s="292">
        <f t="shared" si="5"/>
        <v>-74520.055555555562</v>
      </c>
      <c r="L56" s="292">
        <f t="shared" si="5"/>
        <v>-72025.611111111109</v>
      </c>
      <c r="M56" s="292">
        <f t="shared" si="5"/>
        <v>-71331.166666666672</v>
      </c>
      <c r="N56" s="292">
        <f t="shared" si="5"/>
        <v>-72436.722222222219</v>
      </c>
      <c r="O56" s="292">
        <f t="shared" si="5"/>
        <v>-104942.27777777778</v>
      </c>
      <c r="P56" s="291">
        <f t="shared" si="2"/>
        <v>-1249640.6666666665</v>
      </c>
      <c r="Q56" s="7"/>
    </row>
    <row r="57" spans="1:17" x14ac:dyDescent="0.2">
      <c r="A57" s="6"/>
      <c r="C57" s="66" t="s">
        <v>474</v>
      </c>
      <c r="D57" s="292">
        <f>(D14+D56)</f>
        <v>43018.833333333328</v>
      </c>
      <c r="E57" s="292">
        <f>(E14+E56)</f>
        <v>-121836.72222222222</v>
      </c>
      <c r="F57" s="292">
        <f>(F14+F56)</f>
        <v>24307.722222222219</v>
      </c>
      <c r="G57" s="292">
        <f t="shared" ref="G57:O57" si="6">(G14+G56)</f>
        <v>25002.166666666672</v>
      </c>
      <c r="H57" s="292">
        <f t="shared" si="6"/>
        <v>224896.61111111112</v>
      </c>
      <c r="I57" s="292">
        <f t="shared" si="6"/>
        <v>48741.055555555562</v>
      </c>
      <c r="J57" s="292">
        <f t="shared" si="6"/>
        <v>228085.5</v>
      </c>
      <c r="K57" s="292">
        <f t="shared" si="6"/>
        <v>226979.94444444444</v>
      </c>
      <c r="L57" s="292">
        <f t="shared" si="6"/>
        <v>28474.388888888891</v>
      </c>
      <c r="M57" s="292">
        <f t="shared" si="6"/>
        <v>29168.833333333328</v>
      </c>
      <c r="N57" s="292">
        <f t="shared" si="6"/>
        <v>28063.277777777781</v>
      </c>
      <c r="O57" s="292">
        <f t="shared" si="6"/>
        <v>-4442.277777777781</v>
      </c>
      <c r="P57" s="292">
        <f t="shared" si="2"/>
        <v>780459.33333333337</v>
      </c>
      <c r="Q57" s="7"/>
    </row>
    <row r="58" spans="1:17" x14ac:dyDescent="0.2">
      <c r="A58" s="6"/>
      <c r="C58" s="66" t="s">
        <v>480</v>
      </c>
      <c r="D58" s="292"/>
      <c r="E58" s="292"/>
      <c r="F58" s="292"/>
      <c r="G58" s="292"/>
      <c r="H58" s="292"/>
      <c r="I58" s="292">
        <f>(SUM($P$20:$P$31)*0.5*0.5)+(SUM('Cash Flow - Year 2'!$P$20:$P$31)*0.3*0.5)+(SUM('Cash Flow - Year 1'!$P$20:$P$31)*0.2*0.5)</f>
        <v>-232292.80000000002</v>
      </c>
      <c r="J58" s="292"/>
      <c r="K58" s="292"/>
      <c r="L58" s="292"/>
      <c r="M58" s="292"/>
      <c r="N58" s="292"/>
      <c r="O58" s="292">
        <f>(SUM($P$20:$P$31)*0.5*0.5)+(SUM('Cash Flow - Year 2'!$P$20:$P$31)*0.3*0.5)+(SUM('Cash Flow - Year 1'!$P$20:$P$31)*0.2*0.5)</f>
        <v>-232292.80000000002</v>
      </c>
      <c r="P58" s="292">
        <f t="shared" si="2"/>
        <v>-464585.60000000003</v>
      </c>
      <c r="Q58" s="7"/>
    </row>
    <row r="59" spans="1:17" x14ac:dyDescent="0.2">
      <c r="A59" s="6"/>
      <c r="C59" s="66" t="s">
        <v>481</v>
      </c>
      <c r="D59" s="292">
        <f t="shared" ref="D59:O59" si="7">(D57+D58)</f>
        <v>43018.833333333328</v>
      </c>
      <c r="E59" s="292">
        <f t="shared" si="7"/>
        <v>-121836.72222222222</v>
      </c>
      <c r="F59" s="292">
        <f t="shared" si="7"/>
        <v>24307.722222222219</v>
      </c>
      <c r="G59" s="292">
        <f t="shared" si="7"/>
        <v>25002.166666666672</v>
      </c>
      <c r="H59" s="292">
        <f t="shared" si="7"/>
        <v>224896.61111111112</v>
      </c>
      <c r="I59" s="292">
        <f t="shared" si="7"/>
        <v>-183551.74444444446</v>
      </c>
      <c r="J59" s="292">
        <f t="shared" si="7"/>
        <v>228085.5</v>
      </c>
      <c r="K59" s="292">
        <f t="shared" si="7"/>
        <v>226979.94444444444</v>
      </c>
      <c r="L59" s="292">
        <f t="shared" si="7"/>
        <v>28474.388888888891</v>
      </c>
      <c r="M59" s="292">
        <f t="shared" si="7"/>
        <v>29168.833333333328</v>
      </c>
      <c r="N59" s="292">
        <f t="shared" si="7"/>
        <v>28063.277777777781</v>
      </c>
      <c r="O59" s="292">
        <f t="shared" si="7"/>
        <v>-236735.0777777778</v>
      </c>
      <c r="P59" s="292">
        <f t="shared" si="2"/>
        <v>315873.73333333328</v>
      </c>
      <c r="Q59" s="7"/>
    </row>
    <row r="60" spans="1:17" x14ac:dyDescent="0.2">
      <c r="A60" s="6"/>
      <c r="C60" s="66" t="s">
        <v>482</v>
      </c>
      <c r="D60" s="292">
        <f>(D59*($D$9/100))*-1</f>
        <v>0</v>
      </c>
      <c r="E60" s="292">
        <f>(E59*($D$9/100))*-1</f>
        <v>0</v>
      </c>
      <c r="F60" s="292">
        <f>(F59*($D$9/100))*-1</f>
        <v>0</v>
      </c>
      <c r="G60" s="292">
        <f t="shared" ref="G60:O60" si="8">(G59*($D$9/100))*-1</f>
        <v>0</v>
      </c>
      <c r="H60" s="292">
        <f t="shared" si="8"/>
        <v>0</v>
      </c>
      <c r="I60" s="292">
        <f t="shared" si="8"/>
        <v>0</v>
      </c>
      <c r="J60" s="292">
        <f t="shared" si="8"/>
        <v>0</v>
      </c>
      <c r="K60" s="292">
        <f t="shared" si="8"/>
        <v>0</v>
      </c>
      <c r="L60" s="292">
        <f t="shared" si="8"/>
        <v>0</v>
      </c>
      <c r="M60" s="292">
        <f t="shared" si="8"/>
        <v>0</v>
      </c>
      <c r="N60" s="292">
        <f t="shared" si="8"/>
        <v>0</v>
      </c>
      <c r="O60" s="292">
        <f t="shared" si="8"/>
        <v>0</v>
      </c>
      <c r="P60" s="292">
        <f t="shared" si="2"/>
        <v>0</v>
      </c>
      <c r="Q60" s="7"/>
    </row>
    <row r="61" spans="1:17" x14ac:dyDescent="0.2">
      <c r="A61" s="6"/>
      <c r="C61" s="66" t="s">
        <v>483</v>
      </c>
      <c r="D61" s="292">
        <f t="shared" ref="D61:O61" si="9">(D59+(D60))</f>
        <v>43018.833333333328</v>
      </c>
      <c r="E61" s="292">
        <f t="shared" si="9"/>
        <v>-121836.72222222222</v>
      </c>
      <c r="F61" s="292">
        <f t="shared" si="9"/>
        <v>24307.722222222219</v>
      </c>
      <c r="G61" s="292">
        <f t="shared" si="9"/>
        <v>25002.166666666672</v>
      </c>
      <c r="H61" s="292">
        <f t="shared" si="9"/>
        <v>224896.61111111112</v>
      </c>
      <c r="I61" s="292">
        <f t="shared" si="9"/>
        <v>-183551.74444444446</v>
      </c>
      <c r="J61" s="292">
        <f t="shared" si="9"/>
        <v>228085.5</v>
      </c>
      <c r="K61" s="292">
        <f t="shared" si="9"/>
        <v>226979.94444444444</v>
      </c>
      <c r="L61" s="292">
        <f t="shared" si="9"/>
        <v>28474.388888888891</v>
      </c>
      <c r="M61" s="292">
        <f t="shared" si="9"/>
        <v>29168.833333333328</v>
      </c>
      <c r="N61" s="292">
        <f t="shared" si="9"/>
        <v>28063.277777777781</v>
      </c>
      <c r="O61" s="292">
        <f t="shared" si="9"/>
        <v>-236735.0777777778</v>
      </c>
      <c r="P61" s="292">
        <f t="shared" si="2"/>
        <v>315873.73333333328</v>
      </c>
      <c r="Q61" s="7"/>
    </row>
    <row r="62" spans="1:17" ht="13.5" thickBot="1" x14ac:dyDescent="0.25">
      <c r="A62" s="6"/>
      <c r="C62" s="311" t="s">
        <v>475</v>
      </c>
      <c r="D62" s="301">
        <f>+($D$6/($D$8*12))*-1</f>
        <v>-55555.555555555562</v>
      </c>
      <c r="E62" s="301">
        <f>+($D$6/($D$8*12))*-1</f>
        <v>-55555.555555555562</v>
      </c>
      <c r="F62" s="301">
        <f>+($D$6/($D$8*12))*-1</f>
        <v>-55555.555555555562</v>
      </c>
      <c r="G62" s="301">
        <f t="shared" ref="G62:O62" si="10">+($D$6/($D$8*12))*-1</f>
        <v>-55555.555555555562</v>
      </c>
      <c r="H62" s="301">
        <f t="shared" si="10"/>
        <v>-55555.555555555562</v>
      </c>
      <c r="I62" s="301">
        <f t="shared" si="10"/>
        <v>-55555.555555555562</v>
      </c>
      <c r="J62" s="301">
        <f t="shared" si="10"/>
        <v>-55555.555555555562</v>
      </c>
      <c r="K62" s="301">
        <f t="shared" si="10"/>
        <v>-55555.555555555562</v>
      </c>
      <c r="L62" s="301">
        <f t="shared" si="10"/>
        <v>-55555.555555555562</v>
      </c>
      <c r="M62" s="301">
        <f t="shared" si="10"/>
        <v>-55555.555555555562</v>
      </c>
      <c r="N62" s="301">
        <f t="shared" si="10"/>
        <v>-55555.555555555562</v>
      </c>
      <c r="O62" s="301">
        <f t="shared" si="10"/>
        <v>-55555.555555555562</v>
      </c>
      <c r="P62" s="301">
        <f t="shared" si="2"/>
        <v>-666666.66666666674</v>
      </c>
      <c r="Q62" s="7"/>
    </row>
    <row r="63" spans="1:17" ht="13.5" thickBot="1" x14ac:dyDescent="0.25">
      <c r="A63" s="6"/>
      <c r="C63" s="258" t="s">
        <v>484</v>
      </c>
      <c r="D63" s="313">
        <f t="shared" ref="D63:O63" si="11">(D57+D60+D62)</f>
        <v>-12536.722222222234</v>
      </c>
      <c r="E63" s="313">
        <f t="shared" si="11"/>
        <v>-177392.27777777778</v>
      </c>
      <c r="F63" s="313">
        <f t="shared" si="11"/>
        <v>-31247.833333333343</v>
      </c>
      <c r="G63" s="313">
        <f t="shared" si="11"/>
        <v>-30553.388888888891</v>
      </c>
      <c r="H63" s="313">
        <f t="shared" si="11"/>
        <v>169341.05555555556</v>
      </c>
      <c r="I63" s="313">
        <f t="shared" si="11"/>
        <v>-6814.5</v>
      </c>
      <c r="J63" s="313">
        <f t="shared" si="11"/>
        <v>172529.94444444444</v>
      </c>
      <c r="K63" s="313">
        <f t="shared" si="11"/>
        <v>171424.38888888888</v>
      </c>
      <c r="L63" s="313">
        <f t="shared" si="11"/>
        <v>-27081.166666666672</v>
      </c>
      <c r="M63" s="313">
        <f t="shared" si="11"/>
        <v>-26386.722222222234</v>
      </c>
      <c r="N63" s="313">
        <f t="shared" si="11"/>
        <v>-27492.277777777781</v>
      </c>
      <c r="O63" s="313">
        <f t="shared" si="11"/>
        <v>-59997.833333333343</v>
      </c>
      <c r="P63" s="314">
        <f t="shared" si="2"/>
        <v>113792.66666666657</v>
      </c>
      <c r="Q63" s="7"/>
    </row>
    <row r="64" spans="1:17" x14ac:dyDescent="0.2">
      <c r="A64" s="6"/>
      <c r="C64" s="265" t="s">
        <v>486</v>
      </c>
      <c r="D64" s="291">
        <f>('Cash Flow - Year 2'!P65)</f>
        <v>-415167.63333333307</v>
      </c>
      <c r="E64" s="291">
        <f>(D65)</f>
        <v>-427704.35555555532</v>
      </c>
      <c r="F64" s="291">
        <f>(E65)</f>
        <v>-605096.63333333307</v>
      </c>
      <c r="G64" s="291">
        <f t="shared" ref="G64:O64" si="12">(F65)</f>
        <v>-636344.46666666644</v>
      </c>
      <c r="H64" s="291">
        <f t="shared" si="12"/>
        <v>-666897.85555555532</v>
      </c>
      <c r="I64" s="291">
        <f t="shared" si="12"/>
        <v>-497556.79999999976</v>
      </c>
      <c r="J64" s="291">
        <f t="shared" si="12"/>
        <v>-504371.29999999976</v>
      </c>
      <c r="K64" s="291">
        <f t="shared" si="12"/>
        <v>-331841.35555555532</v>
      </c>
      <c r="L64" s="291">
        <f t="shared" si="12"/>
        <v>-160416.96666666644</v>
      </c>
      <c r="M64" s="291">
        <f t="shared" si="12"/>
        <v>-187498.13333333313</v>
      </c>
      <c r="N64" s="291">
        <f t="shared" si="12"/>
        <v>-213884.85555555538</v>
      </c>
      <c r="O64" s="291">
        <f t="shared" si="12"/>
        <v>-241377.13333333316</v>
      </c>
      <c r="P64" s="46"/>
      <c r="Q64" s="7"/>
    </row>
    <row r="65" spans="1:17" ht="13.5" thickBot="1" x14ac:dyDescent="0.25">
      <c r="A65" s="6"/>
      <c r="C65" s="317" t="s">
        <v>487</v>
      </c>
      <c r="D65" s="301">
        <f t="shared" ref="D65:O65" si="13">(D63+D64)</f>
        <v>-427704.35555555532</v>
      </c>
      <c r="E65" s="301">
        <f t="shared" si="13"/>
        <v>-605096.63333333307</v>
      </c>
      <c r="F65" s="301">
        <f t="shared" si="13"/>
        <v>-636344.46666666644</v>
      </c>
      <c r="G65" s="301">
        <f t="shared" si="13"/>
        <v>-666897.85555555532</v>
      </c>
      <c r="H65" s="301">
        <f t="shared" si="13"/>
        <v>-497556.79999999976</v>
      </c>
      <c r="I65" s="301">
        <f t="shared" si="13"/>
        <v>-504371.29999999976</v>
      </c>
      <c r="J65" s="301">
        <f t="shared" si="13"/>
        <v>-331841.35555555532</v>
      </c>
      <c r="K65" s="301">
        <f t="shared" si="13"/>
        <v>-160416.96666666644</v>
      </c>
      <c r="L65" s="301">
        <f t="shared" si="13"/>
        <v>-187498.13333333313</v>
      </c>
      <c r="M65" s="301">
        <f t="shared" si="13"/>
        <v>-213884.85555555538</v>
      </c>
      <c r="N65" s="301">
        <f t="shared" si="13"/>
        <v>-241377.13333333316</v>
      </c>
      <c r="O65" s="301">
        <f t="shared" si="13"/>
        <v>-301374.9666666665</v>
      </c>
      <c r="P65" s="301">
        <f>(O65)*1.15</f>
        <v>-346581.21166666644</v>
      </c>
      <c r="Q65" s="7"/>
    </row>
    <row r="66" spans="1:17" x14ac:dyDescent="0.2">
      <c r="A66" s="6"/>
      <c r="C66" s="272" t="s">
        <v>489</v>
      </c>
      <c r="D66" s="318">
        <f>(D60)</f>
        <v>0</v>
      </c>
      <c r="E66" s="318">
        <f>(D66+E60)</f>
        <v>0</v>
      </c>
      <c r="F66" s="318">
        <f t="shared" ref="F66:O66" si="14">(E66+F60)</f>
        <v>0</v>
      </c>
      <c r="G66" s="318">
        <f t="shared" si="14"/>
        <v>0</v>
      </c>
      <c r="H66" s="318">
        <f t="shared" si="14"/>
        <v>0</v>
      </c>
      <c r="I66" s="318">
        <f t="shared" si="14"/>
        <v>0</v>
      </c>
      <c r="J66" s="318">
        <f t="shared" si="14"/>
        <v>0</v>
      </c>
      <c r="K66" s="318">
        <f t="shared" si="14"/>
        <v>0</v>
      </c>
      <c r="L66" s="318">
        <f t="shared" si="14"/>
        <v>0</v>
      </c>
      <c r="M66" s="318">
        <f t="shared" si="14"/>
        <v>0</v>
      </c>
      <c r="N66" s="318">
        <f t="shared" si="14"/>
        <v>0</v>
      </c>
      <c r="O66" s="318">
        <f t="shared" si="14"/>
        <v>0</v>
      </c>
      <c r="P66" s="319">
        <f>(O66)</f>
        <v>0</v>
      </c>
      <c r="Q66" s="7"/>
    </row>
    <row r="67" spans="1:17" ht="13.5" thickBot="1" x14ac:dyDescent="0.25">
      <c r="A67" s="6"/>
      <c r="C67" s="257" t="s">
        <v>488</v>
      </c>
      <c r="D67" s="255"/>
      <c r="E67" s="255"/>
      <c r="F67" s="255"/>
      <c r="G67" s="255"/>
      <c r="H67" s="255"/>
      <c r="I67" s="320">
        <f>(P66/2)</f>
        <v>0</v>
      </c>
      <c r="J67" s="255"/>
      <c r="K67" s="255"/>
      <c r="L67" s="255"/>
      <c r="M67" s="255"/>
      <c r="N67" s="255"/>
      <c r="O67" s="320">
        <f>(O66-I67)</f>
        <v>0</v>
      </c>
      <c r="P67" s="323">
        <f>(O67+I67)</f>
        <v>0</v>
      </c>
      <c r="Q67" s="7"/>
    </row>
    <row r="68" spans="1:17" ht="13.5" thickBot="1" x14ac:dyDescent="0.25">
      <c r="A68" s="26"/>
      <c r="B68" s="27"/>
      <c r="C68" s="27"/>
      <c r="D68" s="31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68"/>
  <sheetViews>
    <sheetView workbookViewId="0">
      <selection activeCell="E8" sqref="E8"/>
    </sheetView>
  </sheetViews>
  <sheetFormatPr defaultRowHeight="12.75" x14ac:dyDescent="0.2"/>
  <cols>
    <col min="1" max="1" width="1" customWidth="1"/>
    <col min="2" max="2" width="1.7109375" customWidth="1"/>
    <col min="3" max="3" width="43.7109375" customWidth="1"/>
    <col min="4" max="16" width="13.7109375" customWidth="1"/>
    <col min="17" max="17" width="2" customWidth="1"/>
  </cols>
  <sheetData>
    <row r="1" spans="1:17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x14ac:dyDescent="0.2">
      <c r="A2" s="6"/>
      <c r="B2" s="24" t="s">
        <v>504</v>
      </c>
      <c r="C2" s="2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 t="s">
        <v>503</v>
      </c>
      <c r="Q2" s="7"/>
    </row>
    <row r="3" spans="1:17" ht="13.5" thickBot="1" x14ac:dyDescent="0.25">
      <c r="A3" s="6"/>
      <c r="Q3" s="7"/>
    </row>
    <row r="4" spans="1:17" ht="13.5" thickBot="1" x14ac:dyDescent="0.25">
      <c r="A4" s="6"/>
      <c r="C4" s="43" t="s">
        <v>461</v>
      </c>
      <c r="Q4" s="7"/>
    </row>
    <row r="5" spans="1:17" x14ac:dyDescent="0.2">
      <c r="A5" s="6"/>
      <c r="Q5" s="7"/>
    </row>
    <row r="6" spans="1:17" x14ac:dyDescent="0.2">
      <c r="A6" s="6"/>
      <c r="C6" s="88" t="s">
        <v>473</v>
      </c>
      <c r="D6" s="296">
        <f>('Cash Flow - Year 3'!D6+'Cash Flow - Year 3'!P62)</f>
        <v>666666.66666666674</v>
      </c>
      <c r="Q6" s="7"/>
    </row>
    <row r="7" spans="1:17" x14ac:dyDescent="0.2">
      <c r="A7" s="6"/>
      <c r="C7" s="88" t="s">
        <v>479</v>
      </c>
      <c r="D7">
        <v>12</v>
      </c>
      <c r="E7" s="348" t="s">
        <v>537</v>
      </c>
      <c r="Q7" s="7"/>
    </row>
    <row r="8" spans="1:17" x14ac:dyDescent="0.2">
      <c r="A8" s="6"/>
      <c r="C8" s="88" t="s">
        <v>485</v>
      </c>
      <c r="D8">
        <f>IF(('Cash Flow - Year 3'!D8-1)&lt;=0,1,('Cash Flow - Year 3'!D8-1))</f>
        <v>1</v>
      </c>
      <c r="Q8" s="7"/>
    </row>
    <row r="9" spans="1:17" x14ac:dyDescent="0.2">
      <c r="A9" s="6"/>
      <c r="C9" s="88" t="s">
        <v>476</v>
      </c>
      <c r="D9">
        <v>0</v>
      </c>
      <c r="Q9" s="7"/>
    </row>
    <row r="10" spans="1:17" x14ac:dyDescent="0.2">
      <c r="A10" s="6"/>
      <c r="C10" s="88"/>
      <c r="Q10" s="7"/>
    </row>
    <row r="11" spans="1:17" ht="13.5" thickBot="1" x14ac:dyDescent="0.25">
      <c r="A11" s="6"/>
      <c r="Q11" s="7"/>
    </row>
    <row r="12" spans="1:17" ht="13.5" thickBot="1" x14ac:dyDescent="0.25">
      <c r="A12" s="6"/>
      <c r="C12" s="258" t="s">
        <v>234</v>
      </c>
      <c r="D12" s="281" t="s">
        <v>388</v>
      </c>
      <c r="E12" s="281" t="s">
        <v>389</v>
      </c>
      <c r="F12" s="281" t="s">
        <v>390</v>
      </c>
      <c r="G12" s="281" t="s">
        <v>391</v>
      </c>
      <c r="H12" s="281" t="s">
        <v>392</v>
      </c>
      <c r="I12" s="281" t="s">
        <v>393</v>
      </c>
      <c r="J12" s="281" t="s">
        <v>394</v>
      </c>
      <c r="K12" s="281" t="s">
        <v>395</v>
      </c>
      <c r="L12" s="281" t="s">
        <v>396</v>
      </c>
      <c r="M12" s="281" t="s">
        <v>397</v>
      </c>
      <c r="N12" s="281" t="s">
        <v>398</v>
      </c>
      <c r="O12" s="293" t="s">
        <v>399</v>
      </c>
      <c r="P12" s="294" t="s">
        <v>78</v>
      </c>
      <c r="Q12" s="7"/>
    </row>
    <row r="13" spans="1:17" x14ac:dyDescent="0.2">
      <c r="A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22"/>
      <c r="Q13" s="7"/>
    </row>
    <row r="14" spans="1:17" x14ac:dyDescent="0.2">
      <c r="A14" s="6"/>
      <c r="C14" s="295" t="s">
        <v>462</v>
      </c>
      <c r="D14" s="1">
        <f>(D15*D16)</f>
        <v>120600</v>
      </c>
      <c r="E14" s="1">
        <f>(E15*E16)</f>
        <v>100500</v>
      </c>
      <c r="F14" s="1">
        <f>(F15*F16)</f>
        <v>100500</v>
      </c>
      <c r="G14" s="1">
        <f t="shared" ref="G14:O14" si="0">(G15*G16)</f>
        <v>100500</v>
      </c>
      <c r="H14" s="1">
        <f t="shared" si="0"/>
        <v>301500</v>
      </c>
      <c r="I14" s="1">
        <f t="shared" si="0"/>
        <v>301500</v>
      </c>
      <c r="J14" s="1">
        <f t="shared" si="0"/>
        <v>301500</v>
      </c>
      <c r="K14" s="1">
        <f t="shared" si="0"/>
        <v>301500</v>
      </c>
      <c r="L14" s="1">
        <f t="shared" si="0"/>
        <v>100500</v>
      </c>
      <c r="M14" s="1">
        <f t="shared" si="0"/>
        <v>100500</v>
      </c>
      <c r="N14" s="1">
        <f t="shared" si="0"/>
        <v>100500</v>
      </c>
      <c r="O14" s="1">
        <f t="shared" si="0"/>
        <v>100500</v>
      </c>
      <c r="P14" s="312">
        <f>SUM(D14:O14)</f>
        <v>2030100</v>
      </c>
      <c r="Q14" s="7"/>
    </row>
    <row r="15" spans="1:17" x14ac:dyDescent="0.2">
      <c r="A15" s="6"/>
      <c r="C15" s="308" t="s">
        <v>463</v>
      </c>
      <c r="D15" s="300">
        <f>(Projections!E19)</f>
        <v>40200</v>
      </c>
      <c r="E15" s="300">
        <f>(Projections!F19)</f>
        <v>33500</v>
      </c>
      <c r="F15" s="300">
        <f>(Projections!G19)</f>
        <v>33500</v>
      </c>
      <c r="G15" s="300">
        <f>(Projections!H19)</f>
        <v>33500</v>
      </c>
      <c r="H15" s="300">
        <f>(Projections!I19)</f>
        <v>100500</v>
      </c>
      <c r="I15" s="300">
        <f>(Projections!J19)</f>
        <v>100500</v>
      </c>
      <c r="J15" s="300">
        <f>(Projections!K19)</f>
        <v>100500</v>
      </c>
      <c r="K15" s="300">
        <f>(Projections!L19)</f>
        <v>100500</v>
      </c>
      <c r="L15" s="300">
        <f>(Projections!M19)</f>
        <v>33500</v>
      </c>
      <c r="M15" s="300">
        <f>(Projections!N19)</f>
        <v>33500</v>
      </c>
      <c r="N15" s="300">
        <f>(Projections!O19)</f>
        <v>33500</v>
      </c>
      <c r="O15" s="300">
        <f>(Projections!P19)</f>
        <v>33500</v>
      </c>
      <c r="P15" s="301">
        <f>SUM(D15:O15)</f>
        <v>676700</v>
      </c>
      <c r="Q15" s="7"/>
    </row>
    <row r="16" spans="1:17" x14ac:dyDescent="0.2">
      <c r="A16" s="6"/>
      <c r="C16" s="309" t="s">
        <v>464</v>
      </c>
      <c r="D16" s="61">
        <f>(Projections!$D$7)</f>
        <v>3</v>
      </c>
      <c r="E16" s="61">
        <f>(Projections!$D$7)</f>
        <v>3</v>
      </c>
      <c r="F16" s="61">
        <f>(Projections!$D$7)</f>
        <v>3</v>
      </c>
      <c r="G16" s="61">
        <f>(Projections!$D$7)</f>
        <v>3</v>
      </c>
      <c r="H16" s="61">
        <f>(Projections!$D$7)</f>
        <v>3</v>
      </c>
      <c r="I16" s="61">
        <f>(Projections!$D$7)</f>
        <v>3</v>
      </c>
      <c r="J16" s="61">
        <f>(Projections!$D$7)</f>
        <v>3</v>
      </c>
      <c r="K16" s="61">
        <f>(Projections!$D$7)</f>
        <v>3</v>
      </c>
      <c r="L16" s="61">
        <f>(Projections!$D$7)</f>
        <v>3</v>
      </c>
      <c r="M16" s="61">
        <f>(Projections!$D$7)</f>
        <v>3</v>
      </c>
      <c r="N16" s="61">
        <f>(Projections!$D$7)</f>
        <v>3</v>
      </c>
      <c r="O16" s="61">
        <f>(Projections!$D$7)</f>
        <v>3</v>
      </c>
      <c r="P16" s="291"/>
      <c r="Q16" s="7"/>
    </row>
    <row r="17" spans="1:17" x14ac:dyDescent="0.2">
      <c r="A17" s="6"/>
      <c r="C17" s="297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96"/>
      <c r="Q17" s="7"/>
    </row>
    <row r="18" spans="1:17" x14ac:dyDescent="0.2">
      <c r="A18" s="6"/>
      <c r="C18" s="1" t="s">
        <v>465</v>
      </c>
      <c r="P18" s="296"/>
      <c r="Q18" s="7"/>
    </row>
    <row r="19" spans="1:17" x14ac:dyDescent="0.2">
      <c r="A19" s="6"/>
      <c r="C19" s="298" t="s">
        <v>412</v>
      </c>
      <c r="D19" s="312">
        <f>SUM(D20:D35)</f>
        <v>0</v>
      </c>
      <c r="E19" s="312">
        <f>SUM(E20:E35)</f>
        <v>0</v>
      </c>
      <c r="F19" s="312">
        <f>SUM(F20:F35)</f>
        <v>0</v>
      </c>
      <c r="G19" s="312">
        <f t="shared" ref="G19:O19" si="1">SUM(G20:G35)</f>
        <v>0</v>
      </c>
      <c r="H19" s="312">
        <f t="shared" si="1"/>
        <v>0</v>
      </c>
      <c r="I19" s="312">
        <f t="shared" si="1"/>
        <v>0</v>
      </c>
      <c r="J19" s="312">
        <f t="shared" si="1"/>
        <v>0</v>
      </c>
      <c r="K19" s="312">
        <f t="shared" si="1"/>
        <v>0</v>
      </c>
      <c r="L19" s="312">
        <f t="shared" si="1"/>
        <v>0</v>
      </c>
      <c r="M19" s="312">
        <f t="shared" si="1"/>
        <v>0</v>
      </c>
      <c r="N19" s="312">
        <f t="shared" si="1"/>
        <v>0</v>
      </c>
      <c r="O19" s="312">
        <f t="shared" si="1"/>
        <v>0</v>
      </c>
      <c r="P19" s="315">
        <f t="shared" ref="P19:P63" si="2">SUM(D19:O19)</f>
        <v>0</v>
      </c>
      <c r="Q19" s="7"/>
    </row>
    <row r="20" spans="1:17" x14ac:dyDescent="0.2">
      <c r="A20" s="6"/>
      <c r="C20" s="304" t="s">
        <v>415</v>
      </c>
      <c r="D20" s="301">
        <v>0</v>
      </c>
      <c r="E20" s="301">
        <f>(Projections!$D$30*(Projections!F30/100))*-1</f>
        <v>0</v>
      </c>
      <c r="F20" s="301">
        <f>(Projections!$D$30*(Projections!G30/100))*-1</f>
        <v>0</v>
      </c>
      <c r="G20" s="301">
        <f>(Projections!$D$30*(Projections!H30/100))*-1</f>
        <v>0</v>
      </c>
      <c r="H20" s="301">
        <f>(Projections!$D$30*(Projections!I30/100))*-1</f>
        <v>0</v>
      </c>
      <c r="I20" s="301">
        <f>(Projections!$D$30*(Projections!J30/100))*-1</f>
        <v>0</v>
      </c>
      <c r="J20" s="301">
        <f>(Projections!$D$30*(Projections!K30/100))*-1</f>
        <v>0</v>
      </c>
      <c r="K20" s="301">
        <f>(Projections!$D$30*(Projections!L30/100))*-1</f>
        <v>0</v>
      </c>
      <c r="L20" s="301">
        <f>(Projections!$D$30*(Projections!M30/100))*-1</f>
        <v>0</v>
      </c>
      <c r="M20" s="301">
        <f>(Projections!$D$30*(Projections!N30/100))*-1</f>
        <v>0</v>
      </c>
      <c r="N20" s="301">
        <f>(Projections!$D$30*(Projections!O30/100))*-1</f>
        <v>0</v>
      </c>
      <c r="O20" s="301">
        <f>(Projections!$D$30*(Projections!P30/100))*-1</f>
        <v>0</v>
      </c>
      <c r="P20" s="290">
        <f t="shared" si="2"/>
        <v>0</v>
      </c>
      <c r="Q20" s="7"/>
    </row>
    <row r="21" spans="1:17" x14ac:dyDescent="0.2">
      <c r="A21" s="6"/>
      <c r="C21" s="305" t="s">
        <v>416</v>
      </c>
      <c r="D21" s="290">
        <v>0</v>
      </c>
      <c r="E21" s="290">
        <f>(Projections!$D$31*(Projections!F31/100))*-1</f>
        <v>0</v>
      </c>
      <c r="F21" s="290">
        <f>(Projections!$D$31*(Projections!G31/100))*-1</f>
        <v>0</v>
      </c>
      <c r="G21" s="290">
        <f>(Projections!$D$31*(Projections!H31/100))*-1</f>
        <v>0</v>
      </c>
      <c r="H21" s="290">
        <f>(Projections!$D$31*(Projections!I31/100))*-1</f>
        <v>0</v>
      </c>
      <c r="I21" s="290">
        <f>(Projections!$D$31*(Projections!J31/100))*-1</f>
        <v>0</v>
      </c>
      <c r="J21" s="290">
        <f>(Projections!$D$31*(Projections!K31/100))*-1</f>
        <v>0</v>
      </c>
      <c r="K21" s="290">
        <f>(Projections!$D$31*(Projections!L31/100))*-1</f>
        <v>0</v>
      </c>
      <c r="L21" s="290">
        <f>(Projections!$D$31*(Projections!M31/100))*-1</f>
        <v>0</v>
      </c>
      <c r="M21" s="290">
        <f>(Projections!$D$31*(Projections!N31/100))*-1</f>
        <v>0</v>
      </c>
      <c r="N21" s="290">
        <f>(Projections!$D$31*(Projections!O31/100))*-1</f>
        <v>0</v>
      </c>
      <c r="O21" s="290">
        <f>(Projections!$D$31*(Projections!P31/100))*-1</f>
        <v>0</v>
      </c>
      <c r="P21" s="290">
        <f t="shared" si="2"/>
        <v>0</v>
      </c>
      <c r="Q21" s="7"/>
    </row>
    <row r="22" spans="1:17" x14ac:dyDescent="0.2">
      <c r="A22" s="6"/>
      <c r="C22" s="305" t="s">
        <v>418</v>
      </c>
      <c r="D22" s="290">
        <v>0</v>
      </c>
      <c r="E22" s="290">
        <f>(Projections!$D$32*(Projections!F32/100))*-1</f>
        <v>0</v>
      </c>
      <c r="F22" s="290">
        <f>(Projections!$D$32*(Projections!G32/100))*-1</f>
        <v>0</v>
      </c>
      <c r="G22" s="290">
        <f>(Projections!$D$32*(Projections!H32/100))*-1</f>
        <v>0</v>
      </c>
      <c r="H22" s="290">
        <f>(Projections!$D$32*(Projections!I32/100))*-1</f>
        <v>0</v>
      </c>
      <c r="I22" s="290">
        <f>(Projections!$D$32*(Projections!J32/100))*-1</f>
        <v>0</v>
      </c>
      <c r="J22" s="290">
        <f>(Projections!$D$32*(Projections!K32/100))*-1</f>
        <v>0</v>
      </c>
      <c r="K22" s="290">
        <f>(Projections!$D$32*(Projections!L32/100))*-1</f>
        <v>0</v>
      </c>
      <c r="L22" s="290">
        <f>(Projections!$D$32*(Projections!M32/100))*-1</f>
        <v>0</v>
      </c>
      <c r="M22" s="290">
        <f>(Projections!$D$32*(Projections!N32/100))*-1</f>
        <v>0</v>
      </c>
      <c r="N22" s="290">
        <f>(Projections!$D$32*(Projections!O32/100))*-1</f>
        <v>0</v>
      </c>
      <c r="O22" s="290">
        <f>(Projections!$D$32*(Projections!P32/100))*-1</f>
        <v>0</v>
      </c>
      <c r="P22" s="290">
        <f t="shared" si="2"/>
        <v>0</v>
      </c>
      <c r="Q22" s="7"/>
    </row>
    <row r="23" spans="1:17" x14ac:dyDescent="0.2">
      <c r="A23" s="6"/>
      <c r="C23" s="305" t="s">
        <v>417</v>
      </c>
      <c r="D23" s="290">
        <v>0</v>
      </c>
      <c r="E23" s="290">
        <f>(Projections!$D$33*(Projections!F33/100))*-1</f>
        <v>0</v>
      </c>
      <c r="F23" s="290">
        <f>(Projections!$D$33*(Projections!G33/100))*-1</f>
        <v>0</v>
      </c>
      <c r="G23" s="290">
        <f>(Projections!$D$33*(Projections!H33/100))*-1</f>
        <v>0</v>
      </c>
      <c r="H23" s="290">
        <f>(Projections!$D$33*(Projections!I33/100))*-1</f>
        <v>0</v>
      </c>
      <c r="I23" s="290">
        <f>(Projections!$D$33*(Projections!J33/100))*-1</f>
        <v>0</v>
      </c>
      <c r="J23" s="290">
        <f>(Projections!$D$33*(Projections!K33/100))*-1</f>
        <v>0</v>
      </c>
      <c r="K23" s="290">
        <f>(Projections!$D$33*(Projections!L33/100))*-1</f>
        <v>0</v>
      </c>
      <c r="L23" s="290">
        <f>(Projections!$D$33*(Projections!M33/100))*-1</f>
        <v>0</v>
      </c>
      <c r="M23" s="290">
        <f>(Projections!$D$33*(Projections!N33/100))*-1</f>
        <v>0</v>
      </c>
      <c r="N23" s="290">
        <f>(Projections!$D$33*(Projections!O33/100))*-1</f>
        <v>0</v>
      </c>
      <c r="O23" s="290">
        <f>(Projections!$D$33*(Projections!P33/100))*-1</f>
        <v>0</v>
      </c>
      <c r="P23" s="290">
        <f t="shared" si="2"/>
        <v>0</v>
      </c>
      <c r="Q23" s="7"/>
    </row>
    <row r="24" spans="1:17" x14ac:dyDescent="0.2">
      <c r="A24" s="6"/>
      <c r="C24" s="305" t="s">
        <v>419</v>
      </c>
      <c r="D24" s="290">
        <v>0</v>
      </c>
      <c r="E24" s="290">
        <f>(Projections!$D$34*(Projections!F34/100))*-1</f>
        <v>0</v>
      </c>
      <c r="F24" s="290">
        <f>(Projections!$D$34*(Projections!G34/100))*-1</f>
        <v>0</v>
      </c>
      <c r="G24" s="290">
        <f>(Projections!$D$34*(Projections!H34/100))*-1</f>
        <v>0</v>
      </c>
      <c r="H24" s="290">
        <f>(Projections!$D$34*(Projections!I34/100))*-1</f>
        <v>0</v>
      </c>
      <c r="I24" s="290">
        <f>(Projections!$D$34*(Projections!J34/100))*-1</f>
        <v>0</v>
      </c>
      <c r="J24" s="290">
        <f>(Projections!$D$34*(Projections!K34/100))*-1</f>
        <v>0</v>
      </c>
      <c r="K24" s="290">
        <f>(Projections!$D$34*(Projections!L34/100))*-1</f>
        <v>0</v>
      </c>
      <c r="L24" s="290">
        <f>(Projections!$D$34*(Projections!M34/100))*-1</f>
        <v>0</v>
      </c>
      <c r="M24" s="290">
        <f>(Projections!$D$34*(Projections!N34/100))*-1</f>
        <v>0</v>
      </c>
      <c r="N24" s="290">
        <f>(Projections!$D$34*(Projections!O34/100))*-1</f>
        <v>0</v>
      </c>
      <c r="O24" s="290">
        <f>(Projections!$D$34*(Projections!P34/100))*-1</f>
        <v>0</v>
      </c>
      <c r="P24" s="290">
        <f t="shared" si="2"/>
        <v>0</v>
      </c>
      <c r="Q24" s="7"/>
    </row>
    <row r="25" spans="1:17" x14ac:dyDescent="0.2">
      <c r="A25" s="6"/>
      <c r="C25" s="305" t="s">
        <v>420</v>
      </c>
      <c r="D25" s="290">
        <v>0</v>
      </c>
      <c r="E25" s="290">
        <f>(Projections!$D$35*(Projections!F35/100))*-1</f>
        <v>0</v>
      </c>
      <c r="F25" s="290">
        <f>(Projections!$D$35*(Projections!G35/100))*-1</f>
        <v>0</v>
      </c>
      <c r="G25" s="290">
        <f>(Projections!$D$35*(Projections!H35/100))*-1</f>
        <v>0</v>
      </c>
      <c r="H25" s="290">
        <f>(Projections!$D$35*(Projections!I35/100))*-1</f>
        <v>0</v>
      </c>
      <c r="I25" s="290">
        <f>(Projections!$D$35*(Projections!J35/100))*-1</f>
        <v>0</v>
      </c>
      <c r="J25" s="290">
        <f>(Projections!$D$35*(Projections!K35/100))*-1</f>
        <v>0</v>
      </c>
      <c r="K25" s="290">
        <f>(Projections!$D$35*(Projections!L35/100))*-1</f>
        <v>0</v>
      </c>
      <c r="L25" s="290">
        <f>(Projections!$D$35*(Projections!M35/100))*-1</f>
        <v>0</v>
      </c>
      <c r="M25" s="290">
        <f>(Projections!$D$35*(Projections!N35/100))*-1</f>
        <v>0</v>
      </c>
      <c r="N25" s="290">
        <f>(Projections!$D$35*(Projections!O35/100))*-1</f>
        <v>0</v>
      </c>
      <c r="O25" s="290">
        <f>(Projections!$D$35*(Projections!P35/100))*-1</f>
        <v>0</v>
      </c>
      <c r="P25" s="290">
        <f t="shared" si="2"/>
        <v>0</v>
      </c>
      <c r="Q25" s="7"/>
    </row>
    <row r="26" spans="1:17" x14ac:dyDescent="0.2">
      <c r="A26" s="6"/>
      <c r="C26" s="305" t="s">
        <v>421</v>
      </c>
      <c r="D26" s="290">
        <v>0</v>
      </c>
      <c r="E26" s="290">
        <f>(Projections!$D$36*(Projections!F36/100))*-1</f>
        <v>0</v>
      </c>
      <c r="F26" s="290">
        <f>(Projections!$D$36*(Projections!G36/100))*-1</f>
        <v>0</v>
      </c>
      <c r="G26" s="290">
        <f>(Projections!$D$36*(Projections!H36/100))*-1</f>
        <v>0</v>
      </c>
      <c r="H26" s="290">
        <f>(Projections!$D$36*(Projections!I36/100))*-1</f>
        <v>0</v>
      </c>
      <c r="I26" s="290">
        <f>(Projections!$D$36*(Projections!J36/100))*-1</f>
        <v>0</v>
      </c>
      <c r="J26" s="290">
        <f>(Projections!$D$36*(Projections!K36/100))*-1</f>
        <v>0</v>
      </c>
      <c r="K26" s="290">
        <f>(Projections!$D$36*(Projections!L36/100))*-1</f>
        <v>0</v>
      </c>
      <c r="L26" s="290">
        <f>(Projections!$D$36*(Projections!M36/100))*-1</f>
        <v>0</v>
      </c>
      <c r="M26" s="290">
        <f>(Projections!$D$36*(Projections!N36/100))*-1</f>
        <v>0</v>
      </c>
      <c r="N26" s="290">
        <f>(Projections!$D$36*(Projections!O36/100))*-1</f>
        <v>0</v>
      </c>
      <c r="O26" s="290">
        <f>(Projections!$D$36*(Projections!P36/100))*-1</f>
        <v>0</v>
      </c>
      <c r="P26" s="290">
        <f t="shared" si="2"/>
        <v>0</v>
      </c>
      <c r="Q26" s="7"/>
    </row>
    <row r="27" spans="1:17" x14ac:dyDescent="0.2">
      <c r="A27" s="6"/>
      <c r="C27" s="305" t="s">
        <v>422</v>
      </c>
      <c r="D27" s="290">
        <f>(Projections!$D$37*(Projections!E37/100))*-1</f>
        <v>0</v>
      </c>
      <c r="E27" s="290">
        <f>(Projections!$D$37*(Projections!F37/100))*-1</f>
        <v>0</v>
      </c>
      <c r="F27" s="290">
        <f>(Projections!$D$37*(Projections!G37/100))*-1</f>
        <v>0</v>
      </c>
      <c r="G27" s="290">
        <f>(Projections!$D$37*(Projections!H37/100))*-1</f>
        <v>0</v>
      </c>
      <c r="H27" s="290">
        <f>(Projections!$D$37*(Projections!I37/100))*-1</f>
        <v>0</v>
      </c>
      <c r="I27" s="290">
        <f>(Projections!$D$37*(Projections!J37/100))*-1</f>
        <v>0</v>
      </c>
      <c r="J27" s="290">
        <f>(Projections!$D$37*(Projections!K37/100))*-1</f>
        <v>0</v>
      </c>
      <c r="K27" s="290">
        <f>(Projections!$D$37*(Projections!L37/100))*-1</f>
        <v>0</v>
      </c>
      <c r="L27" s="290">
        <f>(Projections!$D$37*(Projections!M37/100))*-1</f>
        <v>0</v>
      </c>
      <c r="M27" s="290">
        <f>(Projections!$D$37*(Projections!N37/100))*-1</f>
        <v>0</v>
      </c>
      <c r="N27" s="290">
        <f>(Projections!$D$37*(Projections!O37/100))*-1</f>
        <v>0</v>
      </c>
      <c r="O27" s="290">
        <f>(Projections!$D$37*(Projections!P37/100))*-1</f>
        <v>0</v>
      </c>
      <c r="P27" s="290">
        <f t="shared" si="2"/>
        <v>0</v>
      </c>
      <c r="Q27" s="7"/>
    </row>
    <row r="28" spans="1:17" x14ac:dyDescent="0.2">
      <c r="A28" s="6"/>
      <c r="C28" s="305" t="s">
        <v>423</v>
      </c>
      <c r="D28" s="290">
        <f>(Projections!$D$38*(Projections!E38/100))*-1</f>
        <v>0</v>
      </c>
      <c r="E28" s="290">
        <f>(Projections!$D$38*(Projections!F38/100))*-1</f>
        <v>0</v>
      </c>
      <c r="F28" s="290">
        <f>(Projections!$D$38*(Projections!G38/100))*-1</f>
        <v>0</v>
      </c>
      <c r="G28" s="290">
        <f>(Projections!$D$38*(Projections!H38/100))*-1</f>
        <v>0</v>
      </c>
      <c r="H28" s="290">
        <f>(Projections!$D$38*(Projections!I38/100))*-1</f>
        <v>0</v>
      </c>
      <c r="I28" s="290">
        <f>(Projections!$D$38*(Projections!J38/100))*-1</f>
        <v>0</v>
      </c>
      <c r="J28" s="290">
        <f>(Projections!$D$38*(Projections!K38/100))*-1</f>
        <v>0</v>
      </c>
      <c r="K28" s="290">
        <f>(Projections!$D$38*(Projections!L38/100))*-1</f>
        <v>0</v>
      </c>
      <c r="L28" s="290">
        <f>(Projections!$D$38*(Projections!M38/100))*-1</f>
        <v>0</v>
      </c>
      <c r="M28" s="290">
        <f>(Projections!$D$38*(Projections!N38/100))*-1</f>
        <v>0</v>
      </c>
      <c r="N28" s="290">
        <f>(Projections!$D$38*(Projections!O38/100))*-1</f>
        <v>0</v>
      </c>
      <c r="O28" s="290">
        <f>(Projections!$D$38*(Projections!P38/100))*-1</f>
        <v>0</v>
      </c>
      <c r="P28" s="290">
        <f t="shared" si="2"/>
        <v>0</v>
      </c>
      <c r="Q28" s="7"/>
    </row>
    <row r="29" spans="1:17" x14ac:dyDescent="0.2">
      <c r="A29" s="6"/>
      <c r="C29" s="307" t="s">
        <v>424</v>
      </c>
      <c r="D29" s="290">
        <f>(Projections!$D$39*(Projections!E39/100))*-1</f>
        <v>0</v>
      </c>
      <c r="E29" s="290">
        <f>(Projections!$D$39*(Projections!F39/100))*-1</f>
        <v>0</v>
      </c>
      <c r="F29" s="290">
        <f>(Projections!$D$39*(Projections!G39/100))*-1</f>
        <v>0</v>
      </c>
      <c r="G29" s="290">
        <f>(Projections!$D$39*(Projections!H39/100))*-1</f>
        <v>0</v>
      </c>
      <c r="H29" s="290">
        <f>(Projections!$D$39*(Projections!I39/100))*-1</f>
        <v>0</v>
      </c>
      <c r="I29" s="290">
        <f>(Projections!$D$39*(Projections!J39/100))*-1</f>
        <v>0</v>
      </c>
      <c r="J29" s="290">
        <f>(Projections!$D$39*(Projections!K39/100))*-1</f>
        <v>0</v>
      </c>
      <c r="K29" s="290">
        <f>(Projections!$D$39*(Projections!L39/100))*-1</f>
        <v>0</v>
      </c>
      <c r="L29" s="290">
        <f>(Projections!$D$39*(Projections!M39/100))*-1</f>
        <v>0</v>
      </c>
      <c r="M29" s="290">
        <f>(Projections!$D$39*(Projections!N39/100))*-1</f>
        <v>0</v>
      </c>
      <c r="N29" s="290">
        <f>(Projections!$D$39*(Projections!O39/100))*-1</f>
        <v>0</v>
      </c>
      <c r="O29" s="290">
        <f>(Projections!$D$39*(Projections!P39/100))*-1</f>
        <v>0</v>
      </c>
      <c r="P29" s="290">
        <f t="shared" si="2"/>
        <v>0</v>
      </c>
      <c r="Q29" s="7"/>
    </row>
    <row r="30" spans="1:17" x14ac:dyDescent="0.2">
      <c r="A30" s="6"/>
      <c r="C30" s="307" t="s">
        <v>425</v>
      </c>
      <c r="D30" s="290">
        <f>(Projections!$D$40*(Projections!E40/100))*-1</f>
        <v>0</v>
      </c>
      <c r="E30" s="290">
        <f>(Projections!$D$40*(Projections!F40/100))*-1</f>
        <v>0</v>
      </c>
      <c r="F30" s="290">
        <f>(Projections!$D$40*(Projections!G40/100))*-1</f>
        <v>0</v>
      </c>
      <c r="G30" s="290">
        <f>(Projections!$D$40*(Projections!H40/100))*-1</f>
        <v>0</v>
      </c>
      <c r="H30" s="290">
        <f>(Projections!$D$40*(Projections!I40/100))*-1</f>
        <v>0</v>
      </c>
      <c r="I30" s="290">
        <f>(Projections!$D$40*(Projections!J40/100))*-1</f>
        <v>0</v>
      </c>
      <c r="J30" s="290">
        <f>(Projections!$D$40*(Projections!K40/100))*-1</f>
        <v>0</v>
      </c>
      <c r="K30" s="290">
        <f>(Projections!$D$40*(Projections!L40/100))*-1</f>
        <v>0</v>
      </c>
      <c r="L30" s="290">
        <f>(Projections!$D$40*(Projections!M40/100))*-1</f>
        <v>0</v>
      </c>
      <c r="M30" s="290">
        <f>(Projections!$D$40*(Projections!N40/100))*-1</f>
        <v>0</v>
      </c>
      <c r="N30" s="290">
        <f>(Projections!$D$40*(Projections!O40/100))*-1</f>
        <v>0</v>
      </c>
      <c r="O30" s="290">
        <f>(Projections!$D$40*(Projections!P40/100))*-1</f>
        <v>0</v>
      </c>
      <c r="P30" s="290">
        <f t="shared" si="2"/>
        <v>0</v>
      </c>
      <c r="Q30" s="7"/>
    </row>
    <row r="31" spans="1:17" x14ac:dyDescent="0.2">
      <c r="A31" s="6"/>
      <c r="C31" s="305" t="s">
        <v>426</v>
      </c>
      <c r="D31" s="290">
        <v>0</v>
      </c>
      <c r="E31" s="290">
        <f>(Projections!$D$41*(Projections!F41/100))*-1</f>
        <v>0</v>
      </c>
      <c r="F31" s="290">
        <f>(Projections!$D$41*(Projections!G41/100))*-1</f>
        <v>0</v>
      </c>
      <c r="G31" s="290">
        <f>(Projections!$D$41*(Projections!H41/100))*-1</f>
        <v>0</v>
      </c>
      <c r="H31" s="290">
        <f>(Projections!$D$41*(Projections!I41/100))*-1</f>
        <v>0</v>
      </c>
      <c r="I31" s="290">
        <f>(Projections!$D$41*(Projections!J41/100))*-1</f>
        <v>0</v>
      </c>
      <c r="J31" s="290">
        <f>(Projections!$D$41*(Projections!K41/100))*-1</f>
        <v>0</v>
      </c>
      <c r="K31" s="290">
        <f>(Projections!$D$41*(Projections!L41/100))*-1</f>
        <v>0</v>
      </c>
      <c r="L31" s="290">
        <f>(Projections!$D$41*(Projections!M41/100))*-1</f>
        <v>0</v>
      </c>
      <c r="M31" s="290">
        <f>(Projections!$D$41*(Projections!N41/100))*-1</f>
        <v>0</v>
      </c>
      <c r="N31" s="290">
        <f>(Projections!$D$41*(Projections!O41/100))*-1</f>
        <v>0</v>
      </c>
      <c r="O31" s="290">
        <f>(Projections!$D$41*(Projections!P41/100))*-1</f>
        <v>0</v>
      </c>
      <c r="P31" s="290">
        <f t="shared" si="2"/>
        <v>0</v>
      </c>
      <c r="Q31" s="7"/>
    </row>
    <row r="32" spans="1:17" x14ac:dyDescent="0.2">
      <c r="A32" s="6"/>
      <c r="C32" s="306" t="s">
        <v>466</v>
      </c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>
        <f t="shared" si="2"/>
        <v>0</v>
      </c>
      <c r="Q32" s="7"/>
    </row>
    <row r="33" spans="1:17" x14ac:dyDescent="0.2">
      <c r="A33" s="6"/>
      <c r="C33" s="306" t="s">
        <v>467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>
        <f t="shared" si="2"/>
        <v>0</v>
      </c>
      <c r="Q33" s="7"/>
    </row>
    <row r="34" spans="1:17" x14ac:dyDescent="0.2">
      <c r="A34" s="6"/>
      <c r="C34" s="306" t="s">
        <v>468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>
        <f t="shared" si="2"/>
        <v>0</v>
      </c>
      <c r="Q34" s="7"/>
    </row>
    <row r="35" spans="1:17" x14ac:dyDescent="0.2">
      <c r="A35" s="6"/>
      <c r="C35" s="303" t="s">
        <v>428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>
        <f t="shared" si="2"/>
        <v>0</v>
      </c>
      <c r="Q35" s="7"/>
    </row>
    <row r="36" spans="1:17" x14ac:dyDescent="0.2">
      <c r="A36" s="6"/>
      <c r="C36" s="299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7"/>
    </row>
    <row r="37" spans="1:17" x14ac:dyDescent="0.2">
      <c r="A37" s="6"/>
      <c r="C37" s="298" t="s">
        <v>469</v>
      </c>
      <c r="D37" s="312">
        <f>SUM(D38:D49)</f>
        <v>-60352</v>
      </c>
      <c r="E37" s="312">
        <f>SUM(E38:E49)</f>
        <v>-60352</v>
      </c>
      <c r="F37" s="312">
        <f>SUM(F38:F49)</f>
        <v>-60352</v>
      </c>
      <c r="G37" s="312">
        <f t="shared" ref="G37:O37" si="3">SUM(G38:G49)</f>
        <v>-60352</v>
      </c>
      <c r="H37" s="312">
        <f t="shared" si="3"/>
        <v>-60352</v>
      </c>
      <c r="I37" s="312">
        <f t="shared" si="3"/>
        <v>-95352</v>
      </c>
      <c r="J37" s="312">
        <f t="shared" si="3"/>
        <v>-60352</v>
      </c>
      <c r="K37" s="312">
        <f t="shared" si="3"/>
        <v>-60352</v>
      </c>
      <c r="L37" s="312">
        <f t="shared" si="3"/>
        <v>-60352</v>
      </c>
      <c r="M37" s="312">
        <f t="shared" si="3"/>
        <v>-60352</v>
      </c>
      <c r="N37" s="312">
        <f t="shared" si="3"/>
        <v>-60352</v>
      </c>
      <c r="O37" s="312">
        <f t="shared" si="3"/>
        <v>-95352</v>
      </c>
      <c r="P37" s="315">
        <f t="shared" si="2"/>
        <v>-794224</v>
      </c>
      <c r="Q37" s="7"/>
    </row>
    <row r="38" spans="1:17" x14ac:dyDescent="0.2">
      <c r="A38" s="6"/>
      <c r="C38" s="304" t="s">
        <v>430</v>
      </c>
      <c r="D38" s="301">
        <f>(Projections!$D49*(Projections!E49/100))*-1</f>
        <v>0</v>
      </c>
      <c r="E38" s="301">
        <f>(Projections!$D49*(Projections!F49/100))*-1</f>
        <v>0</v>
      </c>
      <c r="F38" s="301">
        <f>(Projections!$D49*(Projections!G49/100))*-1</f>
        <v>0</v>
      </c>
      <c r="G38" s="301">
        <f>(Projections!$D49*(Projections!H49/100))*-1</f>
        <v>0</v>
      </c>
      <c r="H38" s="301">
        <f>(Projections!$D49*(Projections!I49/100))*-1</f>
        <v>0</v>
      </c>
      <c r="I38" s="301">
        <f>(Projections!$D49*(Projections!J49/100))*-1</f>
        <v>-20000</v>
      </c>
      <c r="J38" s="301">
        <f>(Projections!$D49*(Projections!K49/100))*-1</f>
        <v>0</v>
      </c>
      <c r="K38" s="301">
        <f>(Projections!$D49*(Projections!L49/100))*-1</f>
        <v>0</v>
      </c>
      <c r="L38" s="301">
        <f>(Projections!$D49*(Projections!M49/100))*-1</f>
        <v>0</v>
      </c>
      <c r="M38" s="301">
        <f>(Projections!$D49*(Projections!N49/100))*-1</f>
        <v>0</v>
      </c>
      <c r="N38" s="301">
        <f>(Projections!$D49*(Projections!O49/100))*-1</f>
        <v>0</v>
      </c>
      <c r="O38" s="301">
        <f>(Projections!$D49*(Projections!P49/100))*-1</f>
        <v>-20000</v>
      </c>
      <c r="P38" s="290">
        <f t="shared" si="2"/>
        <v>-40000</v>
      </c>
      <c r="Q38" s="7"/>
    </row>
    <row r="39" spans="1:17" x14ac:dyDescent="0.2">
      <c r="A39" s="6"/>
      <c r="C39" s="305" t="s">
        <v>431</v>
      </c>
      <c r="D39" s="290">
        <f>(Projections!$D50*(Projections!E50/100))*-1</f>
        <v>0</v>
      </c>
      <c r="E39" s="290">
        <f>(Projections!$D50*(Projections!F50/100))*-1</f>
        <v>0</v>
      </c>
      <c r="F39" s="290">
        <f>(Projections!$D50*(Projections!G50/100))*-1</f>
        <v>0</v>
      </c>
      <c r="G39" s="290">
        <f>(Projections!$D50*(Projections!H50/100))*-1</f>
        <v>0</v>
      </c>
      <c r="H39" s="290">
        <f>(Projections!$D50*(Projections!I50/100))*-1</f>
        <v>0</v>
      </c>
      <c r="I39" s="290">
        <f>(Projections!$D50*(Projections!J50/100))*-1</f>
        <v>-15000</v>
      </c>
      <c r="J39" s="290">
        <f>(Projections!$D50*(Projections!K50/100))*-1</f>
        <v>0</v>
      </c>
      <c r="K39" s="290">
        <f>(Projections!$D50*(Projections!L50/100))*-1</f>
        <v>0</v>
      </c>
      <c r="L39" s="290">
        <f>(Projections!$D50*(Projections!M50/100))*-1</f>
        <v>0</v>
      </c>
      <c r="M39" s="290">
        <f>(Projections!$D50*(Projections!N50/100))*-1</f>
        <v>0</v>
      </c>
      <c r="N39" s="290">
        <f>(Projections!$D50*(Projections!O50/100))*-1</f>
        <v>0</v>
      </c>
      <c r="O39" s="290">
        <f>(Projections!$D50*(Projections!P50/100))*-1</f>
        <v>-15000</v>
      </c>
      <c r="P39" s="290">
        <f t="shared" si="2"/>
        <v>-30000</v>
      </c>
      <c r="Q39" s="7"/>
    </row>
    <row r="40" spans="1:17" x14ac:dyDescent="0.2">
      <c r="A40" s="6"/>
      <c r="C40" s="306" t="s">
        <v>185</v>
      </c>
      <c r="D40" s="290">
        <f>(Projections!$D51*(Projections!E51/100))*-1</f>
        <v>-7680</v>
      </c>
      <c r="E40" s="290">
        <f>(Projections!$D51*(Projections!F51/100))*-1</f>
        <v>-7680</v>
      </c>
      <c r="F40" s="290">
        <f>(Projections!$D51*(Projections!G51/100))*-1</f>
        <v>-7680</v>
      </c>
      <c r="G40" s="290">
        <f>(Projections!$D51*(Projections!H51/100))*-1</f>
        <v>-7680</v>
      </c>
      <c r="H40" s="290">
        <f>(Projections!$D51*(Projections!I51/100))*-1</f>
        <v>-7680</v>
      </c>
      <c r="I40" s="290">
        <f>(Projections!$D51*(Projections!J51/100))*-1</f>
        <v>-7680</v>
      </c>
      <c r="J40" s="290">
        <f>(Projections!$D51*(Projections!K51/100))*-1</f>
        <v>-7680</v>
      </c>
      <c r="K40" s="290">
        <f>(Projections!$D51*(Projections!L51/100))*-1</f>
        <v>-7680</v>
      </c>
      <c r="L40" s="290">
        <f>(Projections!$D51*(Projections!M51/100))*-1</f>
        <v>-7680</v>
      </c>
      <c r="M40" s="290">
        <f>(Projections!$D51*(Projections!N51/100))*-1</f>
        <v>-7680</v>
      </c>
      <c r="N40" s="290">
        <f>(Projections!$D51*(Projections!O51/100))*-1</f>
        <v>-7680</v>
      </c>
      <c r="O40" s="290">
        <f>(Projections!$D51*(Projections!P51/100))*-1</f>
        <v>-7680</v>
      </c>
      <c r="P40" s="290">
        <f t="shared" si="2"/>
        <v>-92160</v>
      </c>
      <c r="Q40" s="7"/>
    </row>
    <row r="41" spans="1:17" x14ac:dyDescent="0.2">
      <c r="A41" s="6"/>
      <c r="C41" s="306" t="s">
        <v>186</v>
      </c>
      <c r="D41" s="290">
        <f>(Projections!$D$52*(Projections!E52/100))*-1</f>
        <v>-640</v>
      </c>
      <c r="E41" s="290">
        <f>(Projections!$D$52*(Projections!F52/100))*-1</f>
        <v>-640</v>
      </c>
      <c r="F41" s="290">
        <f>(Projections!$D$52*(Projections!G52/100))*-1</f>
        <v>-640</v>
      </c>
      <c r="G41" s="290">
        <f>(Projections!$D$52*(Projections!H52/100))*-1</f>
        <v>-640</v>
      </c>
      <c r="H41" s="290">
        <f>(Projections!$D$52*(Projections!I52/100))*-1</f>
        <v>-640</v>
      </c>
      <c r="I41" s="290">
        <f>(Projections!$D$52*(Projections!J52/100))*-1</f>
        <v>-640</v>
      </c>
      <c r="J41" s="290">
        <f>(Projections!$D$52*(Projections!K52/100))*-1</f>
        <v>-640</v>
      </c>
      <c r="K41" s="290">
        <f>(Projections!$D$52*(Projections!L52/100))*-1</f>
        <v>-640</v>
      </c>
      <c r="L41" s="290">
        <f>(Projections!$D$52*(Projections!M52/100))*-1</f>
        <v>-640</v>
      </c>
      <c r="M41" s="290">
        <f>(Projections!$D$52*(Projections!N52/100))*-1</f>
        <v>-640</v>
      </c>
      <c r="N41" s="290">
        <f>(Projections!$D$52*(Projections!O52/100))*-1</f>
        <v>-640</v>
      </c>
      <c r="O41" s="290">
        <f>(Projections!$D$52*(Projections!P52/100))*-1</f>
        <v>-640</v>
      </c>
      <c r="P41" s="290">
        <f t="shared" si="2"/>
        <v>-7680</v>
      </c>
      <c r="Q41" s="7"/>
    </row>
    <row r="42" spans="1:17" x14ac:dyDescent="0.2">
      <c r="A42" s="6"/>
      <c r="C42" s="306" t="s">
        <v>187</v>
      </c>
      <c r="D42" s="290">
        <f>(Projections!$D$53*(Projections!E53/100))*-1</f>
        <v>-960</v>
      </c>
      <c r="E42" s="290">
        <f>(Projections!$D$53*(Projections!F53/100))*-1</f>
        <v>-960</v>
      </c>
      <c r="F42" s="290">
        <f>(Projections!$D$53*(Projections!G53/100))*-1</f>
        <v>-960</v>
      </c>
      <c r="G42" s="290">
        <f>(Projections!$D$53*(Projections!H53/100))*-1</f>
        <v>-960</v>
      </c>
      <c r="H42" s="290">
        <f>(Projections!$D$53*(Projections!I53/100))*-1</f>
        <v>-960</v>
      </c>
      <c r="I42" s="290">
        <f>(Projections!$D$53*(Projections!J53/100))*-1</f>
        <v>-960</v>
      </c>
      <c r="J42" s="290">
        <f>(Projections!$D$53*(Projections!K53/100))*-1</f>
        <v>-960</v>
      </c>
      <c r="K42" s="290">
        <f>(Projections!$D$53*(Projections!L53/100))*-1</f>
        <v>-960</v>
      </c>
      <c r="L42" s="290">
        <f>(Projections!$D$53*(Projections!M53/100))*-1</f>
        <v>-960</v>
      </c>
      <c r="M42" s="290">
        <f>(Projections!$D$53*(Projections!N53/100))*-1</f>
        <v>-960</v>
      </c>
      <c r="N42" s="290">
        <f>(Projections!$D$53*(Projections!O53/100))*-1</f>
        <v>-960</v>
      </c>
      <c r="O42" s="290">
        <f>(Projections!$D$53*(Projections!P53/100))*-1</f>
        <v>-960</v>
      </c>
      <c r="P42" s="290">
        <f t="shared" si="2"/>
        <v>-11520</v>
      </c>
      <c r="Q42" s="7"/>
    </row>
    <row r="43" spans="1:17" x14ac:dyDescent="0.2">
      <c r="A43" s="6"/>
      <c r="C43" s="306" t="s">
        <v>191</v>
      </c>
      <c r="D43" s="290">
        <f>(Projections!$D$54*(Projections!E54/100))*-1</f>
        <v>-1152</v>
      </c>
      <c r="E43" s="290">
        <f>(Projections!$D$54*(Projections!F54/100))*-1</f>
        <v>-1152</v>
      </c>
      <c r="F43" s="290">
        <f>(Projections!$D$54*(Projections!G54/100))*-1</f>
        <v>-1152</v>
      </c>
      <c r="G43" s="290">
        <f>(Projections!$D$54*(Projections!H54/100))*-1</f>
        <v>-1152</v>
      </c>
      <c r="H43" s="290">
        <f>(Projections!$D$54*(Projections!I54/100))*-1</f>
        <v>-1152</v>
      </c>
      <c r="I43" s="290">
        <f>(Projections!$D$54*(Projections!J54/100))*-1</f>
        <v>-1152</v>
      </c>
      <c r="J43" s="290">
        <f>(Projections!$D$54*(Projections!K54/100))*-1</f>
        <v>-1152</v>
      </c>
      <c r="K43" s="290">
        <f>(Projections!$D$54*(Projections!L54/100))*-1</f>
        <v>-1152</v>
      </c>
      <c r="L43" s="290">
        <f>(Projections!$D$54*(Projections!M54/100))*-1</f>
        <v>-1152</v>
      </c>
      <c r="M43" s="290">
        <f>(Projections!$D$54*(Projections!N54/100))*-1</f>
        <v>-1152</v>
      </c>
      <c r="N43" s="290">
        <f>(Projections!$D$54*(Projections!O54/100))*-1</f>
        <v>-1152</v>
      </c>
      <c r="O43" s="290">
        <f>(Projections!$D$54*(Projections!P54/100))*-1</f>
        <v>-1152</v>
      </c>
      <c r="P43" s="290">
        <f t="shared" si="2"/>
        <v>-13824</v>
      </c>
      <c r="Q43" s="7"/>
    </row>
    <row r="44" spans="1:17" x14ac:dyDescent="0.2">
      <c r="A44" s="6"/>
      <c r="C44" s="306" t="s">
        <v>193</v>
      </c>
      <c r="D44" s="290">
        <f>(Projections!$D$55*(Projections!E55/100))*-1</f>
        <v>0</v>
      </c>
      <c r="E44" s="290">
        <f>(Projections!$D$55*(Projections!F55/100))*-1</f>
        <v>0</v>
      </c>
      <c r="F44" s="290">
        <f>(Projections!$D$55*(Projections!G55/100))*-1</f>
        <v>0</v>
      </c>
      <c r="G44" s="290">
        <f>(Projections!$D$55*(Projections!H55/100))*-1</f>
        <v>0</v>
      </c>
      <c r="H44" s="290">
        <f>(Projections!$D$55*(Projections!I55/100))*-1</f>
        <v>0</v>
      </c>
      <c r="I44" s="290">
        <f>(Projections!$D$55*(Projections!J55/100))*-1</f>
        <v>0</v>
      </c>
      <c r="J44" s="290">
        <f>(Projections!$D$55*(Projections!K55/100))*-1</f>
        <v>0</v>
      </c>
      <c r="K44" s="290">
        <f>(Projections!$D$55*(Projections!L55/100))*-1</f>
        <v>0</v>
      </c>
      <c r="L44" s="290">
        <f>(Projections!$D$55*(Projections!M55/100))*-1</f>
        <v>0</v>
      </c>
      <c r="M44" s="290">
        <f>(Projections!$D$55*(Projections!N55/100))*-1</f>
        <v>0</v>
      </c>
      <c r="N44" s="290">
        <f>(Projections!$D$55*(Projections!O55/100))*-1</f>
        <v>0</v>
      </c>
      <c r="O44" s="290">
        <f>(Projections!$D$55*(Projections!P55/100))*-1</f>
        <v>0</v>
      </c>
      <c r="P44" s="290">
        <f t="shared" si="2"/>
        <v>0</v>
      </c>
      <c r="Q44" s="7"/>
    </row>
    <row r="45" spans="1:17" x14ac:dyDescent="0.2">
      <c r="A45" s="6"/>
      <c r="C45" s="306" t="s">
        <v>188</v>
      </c>
      <c r="D45" s="290">
        <f>(Projections!$D$56*(Projections!E56/100))*-1</f>
        <v>-28800</v>
      </c>
      <c r="E45" s="290">
        <f>(Projections!$D$56*(Projections!F56/100))*-1</f>
        <v>-28800</v>
      </c>
      <c r="F45" s="290">
        <f>(Projections!$D$56*(Projections!G56/100))*-1</f>
        <v>-28800</v>
      </c>
      <c r="G45" s="290">
        <f>(Projections!$D$56*(Projections!H56/100))*-1</f>
        <v>-28800</v>
      </c>
      <c r="H45" s="290">
        <f>(Projections!$D$56*(Projections!I56/100))*-1</f>
        <v>-28800</v>
      </c>
      <c r="I45" s="290">
        <f>(Projections!$D$56*(Projections!J56/100))*-1</f>
        <v>-28800</v>
      </c>
      <c r="J45" s="290">
        <f>(Projections!$D$56*(Projections!K56/100))*-1</f>
        <v>-28800</v>
      </c>
      <c r="K45" s="290">
        <f>(Projections!$D$56*(Projections!L56/100))*-1</f>
        <v>-28800</v>
      </c>
      <c r="L45" s="290">
        <f>(Projections!$D$56*(Projections!M56/100))*-1</f>
        <v>-28800</v>
      </c>
      <c r="M45" s="290">
        <f>(Projections!$D$56*(Projections!N56/100))*-1</f>
        <v>-28800</v>
      </c>
      <c r="N45" s="290">
        <f>(Projections!$D$56*(Projections!O56/100))*-1</f>
        <v>-28800</v>
      </c>
      <c r="O45" s="290">
        <f>(Projections!$D$56*(Projections!P56/100))*-1</f>
        <v>-28800</v>
      </c>
      <c r="P45" s="290">
        <f t="shared" si="2"/>
        <v>-345600</v>
      </c>
      <c r="Q45" s="7"/>
    </row>
    <row r="46" spans="1:17" x14ac:dyDescent="0.2">
      <c r="A46" s="6"/>
      <c r="C46" s="306" t="s">
        <v>189</v>
      </c>
      <c r="D46" s="290">
        <f>(Projections!$D$57*(Projections!E57/100))*-1</f>
        <v>-2400</v>
      </c>
      <c r="E46" s="290">
        <f>(Projections!$D$57*(Projections!F57/100))*-1</f>
        <v>-2400</v>
      </c>
      <c r="F46" s="290">
        <f>(Projections!$D$57*(Projections!G57/100))*-1</f>
        <v>-2400</v>
      </c>
      <c r="G46" s="290">
        <f>(Projections!$D$57*(Projections!H57/100))*-1</f>
        <v>-2400</v>
      </c>
      <c r="H46" s="290">
        <f>(Projections!$D$57*(Projections!I57/100))*-1</f>
        <v>-2400</v>
      </c>
      <c r="I46" s="290">
        <f>(Projections!$D$57*(Projections!J57/100))*-1</f>
        <v>-2400</v>
      </c>
      <c r="J46" s="290">
        <f>(Projections!$D$57*(Projections!K57/100))*-1</f>
        <v>-2400</v>
      </c>
      <c r="K46" s="290">
        <f>(Projections!$D$57*(Projections!L57/100))*-1</f>
        <v>-2400</v>
      </c>
      <c r="L46" s="290">
        <f>(Projections!$D$57*(Projections!M57/100))*-1</f>
        <v>-2400</v>
      </c>
      <c r="M46" s="290">
        <f>(Projections!$D$57*(Projections!N57/100))*-1</f>
        <v>-2400</v>
      </c>
      <c r="N46" s="290">
        <f>(Projections!$D$57*(Projections!O57/100))*-1</f>
        <v>-2400</v>
      </c>
      <c r="O46" s="290">
        <f>(Projections!$D$57*(Projections!P57/100))*-1</f>
        <v>-2400</v>
      </c>
      <c r="P46" s="290">
        <f t="shared" si="2"/>
        <v>-28800</v>
      </c>
      <c r="Q46" s="7"/>
    </row>
    <row r="47" spans="1:17" x14ac:dyDescent="0.2">
      <c r="A47" s="6"/>
      <c r="C47" s="306" t="s">
        <v>190</v>
      </c>
      <c r="D47" s="290">
        <f>(Projections!$D$58*(Projections!E58/100))*-1</f>
        <v>-11520</v>
      </c>
      <c r="E47" s="290">
        <f>(Projections!$D$58*(Projections!F58/100))*-1</f>
        <v>-11520</v>
      </c>
      <c r="F47" s="290">
        <f>(Projections!$D$58*(Projections!G58/100))*-1</f>
        <v>-11520</v>
      </c>
      <c r="G47" s="290">
        <f>(Projections!$D$58*(Projections!H58/100))*-1</f>
        <v>-11520</v>
      </c>
      <c r="H47" s="290">
        <f>(Projections!$D$58*(Projections!I58/100))*-1</f>
        <v>-11520</v>
      </c>
      <c r="I47" s="290">
        <f>(Projections!$D$58*(Projections!J58/100))*-1</f>
        <v>-11520</v>
      </c>
      <c r="J47" s="290">
        <f>(Projections!$D$58*(Projections!K58/100))*-1</f>
        <v>-11520</v>
      </c>
      <c r="K47" s="290">
        <f>(Projections!$D$58*(Projections!L58/100))*-1</f>
        <v>-11520</v>
      </c>
      <c r="L47" s="290">
        <f>(Projections!$D$58*(Projections!M58/100))*-1</f>
        <v>-11520</v>
      </c>
      <c r="M47" s="290">
        <f>(Projections!$D$58*(Projections!N58/100))*-1</f>
        <v>-11520</v>
      </c>
      <c r="N47" s="290">
        <f>(Projections!$D$58*(Projections!O58/100))*-1</f>
        <v>-11520</v>
      </c>
      <c r="O47" s="290">
        <f>(Projections!$D$58*(Projections!P58/100))*-1</f>
        <v>-11520</v>
      </c>
      <c r="P47" s="290">
        <f t="shared" si="2"/>
        <v>-138240</v>
      </c>
      <c r="Q47" s="7"/>
    </row>
    <row r="48" spans="1:17" x14ac:dyDescent="0.2">
      <c r="A48" s="6"/>
      <c r="C48" s="306" t="s">
        <v>192</v>
      </c>
      <c r="D48" s="290">
        <f>(Projections!$D$59*(Projections!E59/100))*-1</f>
        <v>-7200</v>
      </c>
      <c r="E48" s="290">
        <f>(Projections!$D$59*(Projections!F59/100))*-1</f>
        <v>-7200</v>
      </c>
      <c r="F48" s="290">
        <f>(Projections!$D$59*(Projections!G59/100))*-1</f>
        <v>-7200</v>
      </c>
      <c r="G48" s="290">
        <f>(Projections!$D$59*(Projections!H59/100))*-1</f>
        <v>-7200</v>
      </c>
      <c r="H48" s="290">
        <f>(Projections!$D$59*(Projections!I59/100))*-1</f>
        <v>-7200</v>
      </c>
      <c r="I48" s="290">
        <f>(Projections!$D$59*(Projections!J59/100))*-1</f>
        <v>-7200</v>
      </c>
      <c r="J48" s="290">
        <f>(Projections!$D$59*(Projections!K59/100))*-1</f>
        <v>-7200</v>
      </c>
      <c r="K48" s="290">
        <f>(Projections!$D$59*(Projections!L59/100))*-1</f>
        <v>-7200</v>
      </c>
      <c r="L48" s="290">
        <f>(Projections!$D$59*(Projections!M59/100))*-1</f>
        <v>-7200</v>
      </c>
      <c r="M48" s="290">
        <f>(Projections!$D$59*(Projections!N59/100))*-1</f>
        <v>-7200</v>
      </c>
      <c r="N48" s="290">
        <f>(Projections!$D$59*(Projections!O59/100))*-1</f>
        <v>-7200</v>
      </c>
      <c r="O48" s="290">
        <f>(Projections!$D$59*(Projections!P59/100))*-1</f>
        <v>-7200</v>
      </c>
      <c r="P48" s="290">
        <f t="shared" si="2"/>
        <v>-86400</v>
      </c>
      <c r="Q48" s="7"/>
    </row>
    <row r="49" spans="1:17" x14ac:dyDescent="0.2">
      <c r="A49" s="6"/>
      <c r="C49" s="303" t="s">
        <v>194</v>
      </c>
      <c r="D49" s="291">
        <f>(Projections!$D$60*(Projections!E60/100))*-1</f>
        <v>0</v>
      </c>
      <c r="E49" s="291">
        <f>(Projections!$D$60*(Projections!F60/100))*-1</f>
        <v>0</v>
      </c>
      <c r="F49" s="291">
        <f>(Projections!$D$60*(Projections!G60/100))*-1</f>
        <v>0</v>
      </c>
      <c r="G49" s="291">
        <f>(Projections!$D$60*(Projections!H60/100))*-1</f>
        <v>0</v>
      </c>
      <c r="H49" s="291">
        <f>(Projections!$D$60*(Projections!I60/100))*-1</f>
        <v>0</v>
      </c>
      <c r="I49" s="291">
        <f>(Projections!$D$60*(Projections!J60/100))*-1</f>
        <v>0</v>
      </c>
      <c r="J49" s="291">
        <f>(Projections!$D$60*(Projections!K60/100))*-1</f>
        <v>0</v>
      </c>
      <c r="K49" s="291">
        <f>(Projections!$D$60*(Projections!L60/100))*-1</f>
        <v>0</v>
      </c>
      <c r="L49" s="291">
        <f>(Projections!$D$60*(Projections!M60/100))*-1</f>
        <v>0</v>
      </c>
      <c r="M49" s="291">
        <f>(Projections!$D$60*(Projections!N60/100))*-1</f>
        <v>0</v>
      </c>
      <c r="N49" s="291">
        <f>(Projections!$D$60*(Projections!O60/100))*-1</f>
        <v>0</v>
      </c>
      <c r="O49" s="291">
        <f>(Projections!$D$60*(Projections!P60/100))*-1</f>
        <v>0</v>
      </c>
      <c r="P49" s="291">
        <f t="shared" si="2"/>
        <v>0</v>
      </c>
      <c r="Q49" s="7"/>
    </row>
    <row r="50" spans="1:17" x14ac:dyDescent="0.2">
      <c r="A50" s="6"/>
      <c r="C50" s="298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7"/>
    </row>
    <row r="51" spans="1:17" x14ac:dyDescent="0.2">
      <c r="A51" s="6"/>
      <c r="C51" s="298" t="s">
        <v>411</v>
      </c>
      <c r="D51" s="312">
        <f>SUM(D52:D53)</f>
        <v>-7229.1666666666679</v>
      </c>
      <c r="E51" s="312">
        <f>SUM(E52:E53)</f>
        <v>-152123.61111111112</v>
      </c>
      <c r="F51" s="312">
        <f>SUM(F52:F53)</f>
        <v>-6118.0555555555575</v>
      </c>
      <c r="G51" s="312">
        <f t="shared" ref="G51:O51" si="4">SUM(G52:G53)</f>
        <v>-5562.5000000000009</v>
      </c>
      <c r="H51" s="312">
        <f t="shared" si="4"/>
        <v>-6806.9444444444453</v>
      </c>
      <c r="I51" s="312">
        <f t="shared" si="4"/>
        <v>-148101.38888888888</v>
      </c>
      <c r="J51" s="312">
        <f t="shared" si="4"/>
        <v>-3895.8333333333339</v>
      </c>
      <c r="K51" s="312">
        <f t="shared" si="4"/>
        <v>-5140.2777777777792</v>
      </c>
      <c r="L51" s="312">
        <f t="shared" si="4"/>
        <v>-2784.7222222222226</v>
      </c>
      <c r="M51" s="312">
        <f t="shared" si="4"/>
        <v>-2229.166666666667</v>
      </c>
      <c r="N51" s="312">
        <f t="shared" si="4"/>
        <v>-3473.6111111111113</v>
      </c>
      <c r="O51" s="312">
        <f t="shared" si="4"/>
        <v>-1118.0555555555552</v>
      </c>
      <c r="P51" s="315">
        <f t="shared" si="2"/>
        <v>-344583.33333333331</v>
      </c>
      <c r="Q51" s="7"/>
    </row>
    <row r="52" spans="1:17" x14ac:dyDescent="0.2">
      <c r="A52" s="6"/>
      <c r="C52" s="302" t="s">
        <v>470</v>
      </c>
      <c r="D52" s="301">
        <f>(Projections!T2)*-1</f>
        <v>-562.50000000000011</v>
      </c>
      <c r="E52" s="301">
        <f>(Projections!U2)*-1</f>
        <v>-146012.5</v>
      </c>
      <c r="F52" s="301">
        <f>(Projections!V2)*-1</f>
        <v>-562.50000000000011</v>
      </c>
      <c r="G52" s="301">
        <f>(Projections!W2)*-1</f>
        <v>-562.50000000000011</v>
      </c>
      <c r="H52" s="301">
        <f>(Projections!X2)*-1</f>
        <v>-2362.5</v>
      </c>
      <c r="I52" s="301">
        <f>(Projections!Y2)*-1</f>
        <v>-144212.5</v>
      </c>
      <c r="J52" s="301">
        <f>(Projections!Z2)*-1</f>
        <v>-562.50000000000011</v>
      </c>
      <c r="K52" s="301">
        <f>(Projections!AA2)*-1</f>
        <v>-2362.5</v>
      </c>
      <c r="L52" s="301">
        <f>(Projections!AB2)*-1</f>
        <v>-562.50000000000011</v>
      </c>
      <c r="M52" s="301">
        <f>(Projections!AC2)*-1</f>
        <v>-562.50000000000011</v>
      </c>
      <c r="N52" s="301">
        <f>(Projections!AD2)*-1</f>
        <v>-2362.5</v>
      </c>
      <c r="O52" s="301">
        <f>(Projections!AE2)*-1</f>
        <v>-562.50000000000011</v>
      </c>
      <c r="P52" s="290">
        <f t="shared" si="2"/>
        <v>-301250</v>
      </c>
      <c r="Q52" s="7"/>
    </row>
    <row r="53" spans="1:17" x14ac:dyDescent="0.2">
      <c r="A53" s="6"/>
      <c r="C53" s="303" t="s">
        <v>471</v>
      </c>
      <c r="D53" s="291">
        <f>+($D$6*$D$7/100/12)*-1</f>
        <v>-6666.6666666666679</v>
      </c>
      <c r="E53" s="291">
        <f>+(($D$6+SUM(D62:D62))*$D$7/100/12)*-1</f>
        <v>-6111.1111111111122</v>
      </c>
      <c r="F53" s="291">
        <f>+(($D$6+SUM(D62:E62))*$D$7/100/12)*-1</f>
        <v>-5555.5555555555575</v>
      </c>
      <c r="G53" s="291">
        <f>+(($D$6+SUM(D62:F62))*$D$7/100/12)*-1</f>
        <v>-5000.0000000000009</v>
      </c>
      <c r="H53" s="291">
        <f>+(($D$6+SUM(D62:G62))*$D$7/100/12)*-1</f>
        <v>-4444.4444444444453</v>
      </c>
      <c r="I53" s="291">
        <f>+(($D$6+SUM(D62:H62))*$D$7/100/12)*-1</f>
        <v>-3888.8888888888891</v>
      </c>
      <c r="J53" s="291">
        <f>+(($D$6+SUM(D62:I62))*$D$7/100/12)*-1</f>
        <v>-3333.3333333333339</v>
      </c>
      <c r="K53" s="291">
        <f>+(($D$6+SUM(D62:J62))*$D$7/100/12)*-1</f>
        <v>-2777.7777777777787</v>
      </c>
      <c r="L53" s="291">
        <f>+(($D$6+SUM(D62:K62))*$D$7/100/12)*-1</f>
        <v>-2222.2222222222226</v>
      </c>
      <c r="M53" s="291">
        <f>+(($D$6+SUM(D62:L62))*$D$7/100/12)*-1</f>
        <v>-1666.666666666667</v>
      </c>
      <c r="N53" s="291">
        <f>+(($D$6+SUM(D62:M62))*$D$7/100/12)*-1</f>
        <v>-1111.1111111111113</v>
      </c>
      <c r="O53" s="291">
        <f>+(($D$6+SUM(D62:N62))*$D$7/100/12)*-1</f>
        <v>-555.55555555555509</v>
      </c>
      <c r="P53" s="291">
        <f t="shared" si="2"/>
        <v>-43333.333333333343</v>
      </c>
      <c r="Q53" s="7"/>
    </row>
    <row r="54" spans="1:17" x14ac:dyDescent="0.2">
      <c r="A54" s="6"/>
      <c r="C54" s="298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7"/>
    </row>
    <row r="55" spans="1:17" x14ac:dyDescent="0.2">
      <c r="A55" s="6"/>
      <c r="P55" s="310"/>
      <c r="Q55" s="7"/>
    </row>
    <row r="56" spans="1:17" x14ac:dyDescent="0.2">
      <c r="A56" s="6"/>
      <c r="C56" s="66" t="s">
        <v>472</v>
      </c>
      <c r="D56" s="292">
        <f>(D51+D37)</f>
        <v>-67581.166666666672</v>
      </c>
      <c r="E56" s="292">
        <f t="shared" ref="E56:O56" si="5">(E51+E37)</f>
        <v>-212475.61111111112</v>
      </c>
      <c r="F56" s="292">
        <f t="shared" si="5"/>
        <v>-66470.055555555562</v>
      </c>
      <c r="G56" s="292">
        <f t="shared" si="5"/>
        <v>-65914.5</v>
      </c>
      <c r="H56" s="292">
        <f t="shared" si="5"/>
        <v>-67158.944444444438</v>
      </c>
      <c r="I56" s="292">
        <f t="shared" si="5"/>
        <v>-243453.38888888888</v>
      </c>
      <c r="J56" s="292">
        <f t="shared" si="5"/>
        <v>-64247.833333333336</v>
      </c>
      <c r="K56" s="292">
        <f t="shared" si="5"/>
        <v>-65492.277777777781</v>
      </c>
      <c r="L56" s="292">
        <f t="shared" si="5"/>
        <v>-63136.722222222219</v>
      </c>
      <c r="M56" s="292">
        <f t="shared" si="5"/>
        <v>-62581.166666666664</v>
      </c>
      <c r="N56" s="292">
        <f t="shared" si="5"/>
        <v>-63825.611111111109</v>
      </c>
      <c r="O56" s="292">
        <f t="shared" si="5"/>
        <v>-96470.055555555562</v>
      </c>
      <c r="P56" s="291">
        <f t="shared" si="2"/>
        <v>-1138807.3333333335</v>
      </c>
      <c r="Q56" s="7"/>
    </row>
    <row r="57" spans="1:17" x14ac:dyDescent="0.2">
      <c r="A57" s="6"/>
      <c r="C57" s="66" t="s">
        <v>474</v>
      </c>
      <c r="D57" s="292">
        <f>(D14+D56)</f>
        <v>53018.833333333328</v>
      </c>
      <c r="E57" s="292">
        <f>(E14+E56)</f>
        <v>-111975.61111111112</v>
      </c>
      <c r="F57" s="292">
        <f>(F14+F56)</f>
        <v>34029.944444444438</v>
      </c>
      <c r="G57" s="292">
        <f t="shared" ref="G57:O57" si="6">(G14+G56)</f>
        <v>34585.5</v>
      </c>
      <c r="H57" s="292">
        <f t="shared" si="6"/>
        <v>234341.05555555556</v>
      </c>
      <c r="I57" s="292">
        <f t="shared" si="6"/>
        <v>58046.611111111124</v>
      </c>
      <c r="J57" s="292">
        <f t="shared" si="6"/>
        <v>237252.16666666666</v>
      </c>
      <c r="K57" s="292">
        <f t="shared" si="6"/>
        <v>236007.72222222222</v>
      </c>
      <c r="L57" s="292">
        <f t="shared" si="6"/>
        <v>37363.277777777781</v>
      </c>
      <c r="M57" s="292">
        <f t="shared" si="6"/>
        <v>37918.833333333336</v>
      </c>
      <c r="N57" s="292">
        <f t="shared" si="6"/>
        <v>36674.388888888891</v>
      </c>
      <c r="O57" s="292">
        <f t="shared" si="6"/>
        <v>4029.944444444438</v>
      </c>
      <c r="P57" s="292">
        <f t="shared" si="2"/>
        <v>891292.66666666674</v>
      </c>
      <c r="Q57" s="7"/>
    </row>
    <row r="58" spans="1:17" x14ac:dyDescent="0.2">
      <c r="A58" s="6"/>
      <c r="C58" s="66" t="s">
        <v>480</v>
      </c>
      <c r="D58" s="292"/>
      <c r="E58" s="292"/>
      <c r="F58" s="292"/>
      <c r="G58" s="292"/>
      <c r="H58" s="292"/>
      <c r="I58" s="292">
        <f>(SUM($P$20:$P$31)*0.5*0.5)+(SUM('Cash Flow - Year 3'!$P$20:$P$31)*0.3*0.5)+(SUM('Cash Flow - Year 2'!$P$20:$P$31)*0.2*0.5)</f>
        <v>0</v>
      </c>
      <c r="J58" s="292"/>
      <c r="K58" s="292"/>
      <c r="L58" s="292"/>
      <c r="M58" s="292"/>
      <c r="N58" s="292"/>
      <c r="O58" s="292">
        <f>(SUM($P$20:$P$31)*0.5*0.5)+(SUM('Cash Flow - Year 3'!$P$20:$P$31)*0.3*0.5)+(SUM('Cash Flow - Year 2'!$P$20:$P$31)*0.2*0.5)</f>
        <v>0</v>
      </c>
      <c r="P58" s="292">
        <f t="shared" si="2"/>
        <v>0</v>
      </c>
      <c r="Q58" s="7"/>
    </row>
    <row r="59" spans="1:17" x14ac:dyDescent="0.2">
      <c r="A59" s="6"/>
      <c r="C59" s="66" t="s">
        <v>481</v>
      </c>
      <c r="D59" s="292">
        <f t="shared" ref="D59:O59" si="7">(D57+D58)</f>
        <v>53018.833333333328</v>
      </c>
      <c r="E59" s="292">
        <f t="shared" si="7"/>
        <v>-111975.61111111112</v>
      </c>
      <c r="F59" s="292">
        <f t="shared" si="7"/>
        <v>34029.944444444438</v>
      </c>
      <c r="G59" s="292">
        <f t="shared" si="7"/>
        <v>34585.5</v>
      </c>
      <c r="H59" s="292">
        <f t="shared" si="7"/>
        <v>234341.05555555556</v>
      </c>
      <c r="I59" s="292">
        <f t="shared" si="7"/>
        <v>58046.611111111124</v>
      </c>
      <c r="J59" s="292">
        <f t="shared" si="7"/>
        <v>237252.16666666666</v>
      </c>
      <c r="K59" s="292">
        <f t="shared" si="7"/>
        <v>236007.72222222222</v>
      </c>
      <c r="L59" s="292">
        <f t="shared" si="7"/>
        <v>37363.277777777781</v>
      </c>
      <c r="M59" s="292">
        <f t="shared" si="7"/>
        <v>37918.833333333336</v>
      </c>
      <c r="N59" s="292">
        <f t="shared" si="7"/>
        <v>36674.388888888891</v>
      </c>
      <c r="O59" s="292">
        <f t="shared" si="7"/>
        <v>4029.944444444438</v>
      </c>
      <c r="P59" s="292">
        <f t="shared" si="2"/>
        <v>891292.66666666674</v>
      </c>
      <c r="Q59" s="7"/>
    </row>
    <row r="60" spans="1:17" x14ac:dyDescent="0.2">
      <c r="A60" s="6"/>
      <c r="C60" s="66" t="s">
        <v>482</v>
      </c>
      <c r="D60" s="292">
        <f>(D59*($D$9/100))*-1</f>
        <v>0</v>
      </c>
      <c r="E60" s="292">
        <f>(E59*($D$9/100))*-1</f>
        <v>0</v>
      </c>
      <c r="F60" s="292">
        <f>(F59*($D$9/100))*-1</f>
        <v>0</v>
      </c>
      <c r="G60" s="292">
        <f t="shared" ref="G60:O60" si="8">(G59*($D$9/100))*-1</f>
        <v>0</v>
      </c>
      <c r="H60" s="292">
        <f t="shared" si="8"/>
        <v>0</v>
      </c>
      <c r="I60" s="292">
        <f t="shared" si="8"/>
        <v>0</v>
      </c>
      <c r="J60" s="292">
        <f t="shared" si="8"/>
        <v>0</v>
      </c>
      <c r="K60" s="292">
        <f t="shared" si="8"/>
        <v>0</v>
      </c>
      <c r="L60" s="292">
        <f t="shared" si="8"/>
        <v>0</v>
      </c>
      <c r="M60" s="292">
        <f t="shared" si="8"/>
        <v>0</v>
      </c>
      <c r="N60" s="292">
        <f t="shared" si="8"/>
        <v>0</v>
      </c>
      <c r="O60" s="292">
        <f t="shared" si="8"/>
        <v>0</v>
      </c>
      <c r="P60" s="292">
        <f t="shared" si="2"/>
        <v>0</v>
      </c>
      <c r="Q60" s="7"/>
    </row>
    <row r="61" spans="1:17" x14ac:dyDescent="0.2">
      <c r="A61" s="6"/>
      <c r="C61" s="66" t="s">
        <v>483</v>
      </c>
      <c r="D61" s="292">
        <f t="shared" ref="D61:O61" si="9">(D59+(D60))</f>
        <v>53018.833333333328</v>
      </c>
      <c r="E61" s="292">
        <f t="shared" si="9"/>
        <v>-111975.61111111112</v>
      </c>
      <c r="F61" s="292">
        <f t="shared" si="9"/>
        <v>34029.944444444438</v>
      </c>
      <c r="G61" s="292">
        <f t="shared" si="9"/>
        <v>34585.5</v>
      </c>
      <c r="H61" s="292">
        <f t="shared" si="9"/>
        <v>234341.05555555556</v>
      </c>
      <c r="I61" s="292">
        <f t="shared" si="9"/>
        <v>58046.611111111124</v>
      </c>
      <c r="J61" s="292">
        <f t="shared" si="9"/>
        <v>237252.16666666666</v>
      </c>
      <c r="K61" s="292">
        <f t="shared" si="9"/>
        <v>236007.72222222222</v>
      </c>
      <c r="L61" s="292">
        <f t="shared" si="9"/>
        <v>37363.277777777781</v>
      </c>
      <c r="M61" s="292">
        <f t="shared" si="9"/>
        <v>37918.833333333336</v>
      </c>
      <c r="N61" s="292">
        <f t="shared" si="9"/>
        <v>36674.388888888891</v>
      </c>
      <c r="O61" s="292">
        <f t="shared" si="9"/>
        <v>4029.944444444438</v>
      </c>
      <c r="P61" s="292">
        <f t="shared" si="2"/>
        <v>891292.66666666674</v>
      </c>
      <c r="Q61" s="7"/>
    </row>
    <row r="62" spans="1:17" ht="13.5" thickBot="1" x14ac:dyDescent="0.25">
      <c r="A62" s="6"/>
      <c r="C62" s="311" t="s">
        <v>475</v>
      </c>
      <c r="D62" s="301">
        <f>+($D$6/($D$8*12))*-1</f>
        <v>-55555.555555555562</v>
      </c>
      <c r="E62" s="301">
        <f>+($D$6/($D$8*12))*-1</f>
        <v>-55555.555555555562</v>
      </c>
      <c r="F62" s="301">
        <f>+($D$6/($D$8*12))*-1</f>
        <v>-55555.555555555562</v>
      </c>
      <c r="G62" s="301">
        <f t="shared" ref="G62:O62" si="10">+($D$6/($D$8*12))*-1</f>
        <v>-55555.555555555562</v>
      </c>
      <c r="H62" s="301">
        <f t="shared" si="10"/>
        <v>-55555.555555555562</v>
      </c>
      <c r="I62" s="301">
        <f t="shared" si="10"/>
        <v>-55555.555555555562</v>
      </c>
      <c r="J62" s="301">
        <f t="shared" si="10"/>
        <v>-55555.555555555562</v>
      </c>
      <c r="K62" s="301">
        <f t="shared" si="10"/>
        <v>-55555.555555555562</v>
      </c>
      <c r="L62" s="301">
        <f t="shared" si="10"/>
        <v>-55555.555555555562</v>
      </c>
      <c r="M62" s="301">
        <f t="shared" si="10"/>
        <v>-55555.555555555562</v>
      </c>
      <c r="N62" s="301">
        <f t="shared" si="10"/>
        <v>-55555.555555555562</v>
      </c>
      <c r="O62" s="301">
        <f t="shared" si="10"/>
        <v>-55555.555555555562</v>
      </c>
      <c r="P62" s="301">
        <f t="shared" si="2"/>
        <v>-666666.66666666674</v>
      </c>
      <c r="Q62" s="7"/>
    </row>
    <row r="63" spans="1:17" ht="13.5" thickBot="1" x14ac:dyDescent="0.25">
      <c r="A63" s="6"/>
      <c r="C63" s="258" t="s">
        <v>484</v>
      </c>
      <c r="D63" s="313">
        <f t="shared" ref="D63:O63" si="11">(D57+D60+D62)</f>
        <v>-2536.7222222222335</v>
      </c>
      <c r="E63" s="313">
        <f t="shared" si="11"/>
        <v>-167531.16666666669</v>
      </c>
      <c r="F63" s="313">
        <f t="shared" si="11"/>
        <v>-21525.611111111124</v>
      </c>
      <c r="G63" s="313">
        <f t="shared" si="11"/>
        <v>-20970.055555555562</v>
      </c>
      <c r="H63" s="313">
        <f t="shared" si="11"/>
        <v>178785.5</v>
      </c>
      <c r="I63" s="313">
        <f t="shared" si="11"/>
        <v>2491.055555555562</v>
      </c>
      <c r="J63" s="313">
        <f t="shared" si="11"/>
        <v>181696.61111111109</v>
      </c>
      <c r="K63" s="313">
        <f t="shared" si="11"/>
        <v>180452.16666666666</v>
      </c>
      <c r="L63" s="313">
        <f t="shared" si="11"/>
        <v>-18192.277777777781</v>
      </c>
      <c r="M63" s="313">
        <f t="shared" si="11"/>
        <v>-17636.722222222226</v>
      </c>
      <c r="N63" s="313">
        <f t="shared" si="11"/>
        <v>-18881.166666666672</v>
      </c>
      <c r="O63" s="313">
        <f t="shared" si="11"/>
        <v>-51525.611111111124</v>
      </c>
      <c r="P63" s="314">
        <f t="shared" si="2"/>
        <v>224625.99999999983</v>
      </c>
      <c r="Q63" s="7"/>
    </row>
    <row r="64" spans="1:17" x14ac:dyDescent="0.2">
      <c r="A64" s="6"/>
      <c r="C64" s="265" t="s">
        <v>486</v>
      </c>
      <c r="D64" s="291">
        <f>('Cash Flow - Year 3'!P65)</f>
        <v>-346581.21166666644</v>
      </c>
      <c r="E64" s="291">
        <f>(D65)</f>
        <v>-349117.93388888869</v>
      </c>
      <c r="F64" s="291">
        <f>(E65)</f>
        <v>-516649.10055555537</v>
      </c>
      <c r="G64" s="291">
        <f t="shared" ref="G64:O64" si="12">(F65)</f>
        <v>-538174.71166666644</v>
      </c>
      <c r="H64" s="291">
        <f t="shared" si="12"/>
        <v>-559144.76722222194</v>
      </c>
      <c r="I64" s="291">
        <f t="shared" si="12"/>
        <v>-380359.26722222194</v>
      </c>
      <c r="J64" s="291">
        <f t="shared" si="12"/>
        <v>-377868.21166666638</v>
      </c>
      <c r="K64" s="291">
        <f t="shared" si="12"/>
        <v>-196171.60055555528</v>
      </c>
      <c r="L64" s="291">
        <f t="shared" si="12"/>
        <v>-15719.433888888627</v>
      </c>
      <c r="M64" s="291">
        <f t="shared" si="12"/>
        <v>-33911.711666666408</v>
      </c>
      <c r="N64" s="291">
        <f t="shared" si="12"/>
        <v>-51548.433888888634</v>
      </c>
      <c r="O64" s="291">
        <f t="shared" si="12"/>
        <v>-70429.600555555313</v>
      </c>
      <c r="P64" s="46"/>
      <c r="Q64" s="7"/>
    </row>
    <row r="65" spans="1:17" ht="13.5" thickBot="1" x14ac:dyDescent="0.25">
      <c r="A65" s="6"/>
      <c r="C65" s="317" t="s">
        <v>487</v>
      </c>
      <c r="D65" s="301">
        <f t="shared" ref="D65:O65" si="13">(D63+D64)</f>
        <v>-349117.93388888869</v>
      </c>
      <c r="E65" s="301">
        <f t="shared" si="13"/>
        <v>-516649.10055555537</v>
      </c>
      <c r="F65" s="301">
        <f t="shared" si="13"/>
        <v>-538174.71166666644</v>
      </c>
      <c r="G65" s="301">
        <f t="shared" si="13"/>
        <v>-559144.76722222194</v>
      </c>
      <c r="H65" s="301">
        <f t="shared" si="13"/>
        <v>-380359.26722222194</v>
      </c>
      <c r="I65" s="301">
        <f t="shared" si="13"/>
        <v>-377868.21166666638</v>
      </c>
      <c r="J65" s="301">
        <f t="shared" si="13"/>
        <v>-196171.60055555528</v>
      </c>
      <c r="K65" s="301">
        <f t="shared" si="13"/>
        <v>-15719.433888888627</v>
      </c>
      <c r="L65" s="301">
        <f t="shared" si="13"/>
        <v>-33911.711666666408</v>
      </c>
      <c r="M65" s="301">
        <f t="shared" si="13"/>
        <v>-51548.433888888634</v>
      </c>
      <c r="N65" s="301">
        <f t="shared" si="13"/>
        <v>-70429.600555555313</v>
      </c>
      <c r="O65" s="301">
        <f t="shared" si="13"/>
        <v>-121955.21166666644</v>
      </c>
      <c r="P65" s="301">
        <f>(O65)*1.15</f>
        <v>-140248.4934166664</v>
      </c>
      <c r="Q65" s="7"/>
    </row>
    <row r="66" spans="1:17" x14ac:dyDescent="0.2">
      <c r="A66" s="6"/>
      <c r="C66" s="272" t="s">
        <v>489</v>
      </c>
      <c r="D66" s="318">
        <f>(D60)</f>
        <v>0</v>
      </c>
      <c r="E66" s="318">
        <f>(D66+E60)</f>
        <v>0</v>
      </c>
      <c r="F66" s="318">
        <f t="shared" ref="F66:O66" si="14">(E66+F60)</f>
        <v>0</v>
      </c>
      <c r="G66" s="318">
        <f t="shared" si="14"/>
        <v>0</v>
      </c>
      <c r="H66" s="318">
        <f t="shared" si="14"/>
        <v>0</v>
      </c>
      <c r="I66" s="318">
        <f t="shared" si="14"/>
        <v>0</v>
      </c>
      <c r="J66" s="318">
        <f t="shared" si="14"/>
        <v>0</v>
      </c>
      <c r="K66" s="318">
        <f t="shared" si="14"/>
        <v>0</v>
      </c>
      <c r="L66" s="318">
        <f t="shared" si="14"/>
        <v>0</v>
      </c>
      <c r="M66" s="318">
        <f t="shared" si="14"/>
        <v>0</v>
      </c>
      <c r="N66" s="318">
        <f t="shared" si="14"/>
        <v>0</v>
      </c>
      <c r="O66" s="318">
        <f t="shared" si="14"/>
        <v>0</v>
      </c>
      <c r="P66" s="319">
        <f>(O66)</f>
        <v>0</v>
      </c>
      <c r="Q66" s="7"/>
    </row>
    <row r="67" spans="1:17" ht="13.5" thickBot="1" x14ac:dyDescent="0.25">
      <c r="A67" s="6"/>
      <c r="C67" s="257" t="s">
        <v>488</v>
      </c>
      <c r="D67" s="255"/>
      <c r="E67" s="255"/>
      <c r="F67" s="255"/>
      <c r="G67" s="255"/>
      <c r="H67" s="255"/>
      <c r="I67" s="320">
        <f>(P66/2)</f>
        <v>0</v>
      </c>
      <c r="J67" s="255"/>
      <c r="K67" s="255"/>
      <c r="L67" s="255"/>
      <c r="M67" s="255"/>
      <c r="N67" s="255"/>
      <c r="O67" s="320">
        <f>(O66-I67)</f>
        <v>0</v>
      </c>
      <c r="P67" s="323">
        <f>(O67+I67)</f>
        <v>0</v>
      </c>
      <c r="Q67" s="7"/>
    </row>
    <row r="68" spans="1:17" ht="13.5" thickBot="1" x14ac:dyDescent="0.25">
      <c r="A68" s="26"/>
      <c r="B68" s="27"/>
      <c r="C68" s="27"/>
      <c r="D68" s="31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68"/>
  <sheetViews>
    <sheetView workbookViewId="0">
      <selection activeCell="D6" sqref="D6"/>
    </sheetView>
  </sheetViews>
  <sheetFormatPr defaultRowHeight="12.75" x14ac:dyDescent="0.2"/>
  <cols>
    <col min="1" max="1" width="1" customWidth="1"/>
    <col min="2" max="2" width="1.7109375" customWidth="1"/>
    <col min="3" max="3" width="43.7109375" customWidth="1"/>
    <col min="4" max="16" width="13.7109375" customWidth="1"/>
    <col min="17" max="17" width="2.140625" customWidth="1"/>
  </cols>
  <sheetData>
    <row r="1" spans="1:17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x14ac:dyDescent="0.2">
      <c r="A2" s="6"/>
      <c r="B2" s="24" t="s">
        <v>506</v>
      </c>
      <c r="C2" s="2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 t="s">
        <v>505</v>
      </c>
      <c r="Q2" s="7"/>
    </row>
    <row r="3" spans="1:17" ht="13.5" thickBot="1" x14ac:dyDescent="0.25">
      <c r="A3" s="6"/>
      <c r="Q3" s="7"/>
    </row>
    <row r="4" spans="1:17" ht="13.5" thickBot="1" x14ac:dyDescent="0.25">
      <c r="A4" s="6"/>
      <c r="C4" s="43" t="s">
        <v>461</v>
      </c>
      <c r="Q4" s="7"/>
    </row>
    <row r="5" spans="1:17" x14ac:dyDescent="0.2">
      <c r="A5" s="6"/>
      <c r="Q5" s="7"/>
    </row>
    <row r="6" spans="1:17" x14ac:dyDescent="0.2">
      <c r="A6" s="6"/>
      <c r="C6" s="88" t="s">
        <v>473</v>
      </c>
      <c r="D6" s="296">
        <f>('Cash Flow - Year 4'!D6+'Cash Flow - Year 4'!P62)</f>
        <v>0</v>
      </c>
      <c r="Q6" s="7"/>
    </row>
    <row r="7" spans="1:17" x14ac:dyDescent="0.2">
      <c r="A7" s="6"/>
      <c r="C7" s="88" t="s">
        <v>479</v>
      </c>
      <c r="D7">
        <v>21.5</v>
      </c>
      <c r="Q7" s="7"/>
    </row>
    <row r="8" spans="1:17" x14ac:dyDescent="0.2">
      <c r="A8" s="6"/>
      <c r="C8" s="88" t="s">
        <v>485</v>
      </c>
      <c r="D8">
        <f>IF(('Cash Flow - Year 4'!D8-1)&lt;=0,1,('Cash Flow - Year 4'!D8-1))</f>
        <v>1</v>
      </c>
      <c r="Q8" s="7"/>
    </row>
    <row r="9" spans="1:17" x14ac:dyDescent="0.2">
      <c r="A9" s="6"/>
      <c r="C9" s="88" t="s">
        <v>476</v>
      </c>
      <c r="D9">
        <v>0</v>
      </c>
      <c r="Q9" s="7"/>
    </row>
    <row r="10" spans="1:17" x14ac:dyDescent="0.2">
      <c r="A10" s="6"/>
      <c r="C10" s="88"/>
      <c r="Q10" s="7"/>
    </row>
    <row r="11" spans="1:17" ht="13.5" thickBot="1" x14ac:dyDescent="0.25">
      <c r="A11" s="6"/>
      <c r="Q11" s="7"/>
    </row>
    <row r="12" spans="1:17" ht="13.5" thickBot="1" x14ac:dyDescent="0.25">
      <c r="A12" s="6"/>
      <c r="C12" s="258" t="s">
        <v>234</v>
      </c>
      <c r="D12" s="281" t="s">
        <v>388</v>
      </c>
      <c r="E12" s="281" t="s">
        <v>389</v>
      </c>
      <c r="F12" s="281" t="s">
        <v>390</v>
      </c>
      <c r="G12" s="281" t="s">
        <v>391</v>
      </c>
      <c r="H12" s="281" t="s">
        <v>392</v>
      </c>
      <c r="I12" s="281" t="s">
        <v>393</v>
      </c>
      <c r="J12" s="281" t="s">
        <v>394</v>
      </c>
      <c r="K12" s="281" t="s">
        <v>395</v>
      </c>
      <c r="L12" s="281" t="s">
        <v>396</v>
      </c>
      <c r="M12" s="281" t="s">
        <v>397</v>
      </c>
      <c r="N12" s="281" t="s">
        <v>398</v>
      </c>
      <c r="O12" s="293" t="s">
        <v>399</v>
      </c>
      <c r="P12" s="294" t="s">
        <v>78</v>
      </c>
      <c r="Q12" s="7"/>
    </row>
    <row r="13" spans="1:17" x14ac:dyDescent="0.2">
      <c r="A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22"/>
      <c r="Q13" s="7"/>
    </row>
    <row r="14" spans="1:17" x14ac:dyDescent="0.2">
      <c r="A14" s="6"/>
      <c r="C14" s="295" t="s">
        <v>462</v>
      </c>
      <c r="D14" s="1">
        <f>(D15*D16)</f>
        <v>120600</v>
      </c>
      <c r="E14" s="1">
        <f>(E15*E16)</f>
        <v>100500</v>
      </c>
      <c r="F14" s="1">
        <f>(F15*F16)</f>
        <v>100500</v>
      </c>
      <c r="G14" s="1">
        <f t="shared" ref="G14:O14" si="0">(G15*G16)</f>
        <v>100500</v>
      </c>
      <c r="H14" s="1">
        <f t="shared" si="0"/>
        <v>301500</v>
      </c>
      <c r="I14" s="1">
        <f t="shared" si="0"/>
        <v>301500</v>
      </c>
      <c r="J14" s="1">
        <f t="shared" si="0"/>
        <v>301500</v>
      </c>
      <c r="K14" s="1">
        <f t="shared" si="0"/>
        <v>301500</v>
      </c>
      <c r="L14" s="1">
        <f t="shared" si="0"/>
        <v>100500</v>
      </c>
      <c r="M14" s="1">
        <f t="shared" si="0"/>
        <v>100500</v>
      </c>
      <c r="N14" s="1">
        <f t="shared" si="0"/>
        <v>100500</v>
      </c>
      <c r="O14" s="1">
        <f t="shared" si="0"/>
        <v>100500</v>
      </c>
      <c r="P14" s="312">
        <f>SUM(D14:O14)</f>
        <v>2030100</v>
      </c>
      <c r="Q14" s="7"/>
    </row>
    <row r="15" spans="1:17" x14ac:dyDescent="0.2">
      <c r="A15" s="6"/>
      <c r="C15" s="308" t="s">
        <v>463</v>
      </c>
      <c r="D15" s="300">
        <f>(Projections!E19)</f>
        <v>40200</v>
      </c>
      <c r="E15" s="300">
        <f>(Projections!F19)</f>
        <v>33500</v>
      </c>
      <c r="F15" s="300">
        <f>(Projections!G19)</f>
        <v>33500</v>
      </c>
      <c r="G15" s="300">
        <f>(Projections!H19)</f>
        <v>33500</v>
      </c>
      <c r="H15" s="300">
        <f>(Projections!I19)</f>
        <v>100500</v>
      </c>
      <c r="I15" s="300">
        <f>(Projections!J19)</f>
        <v>100500</v>
      </c>
      <c r="J15" s="300">
        <f>(Projections!K19)</f>
        <v>100500</v>
      </c>
      <c r="K15" s="300">
        <f>(Projections!L19)</f>
        <v>100500</v>
      </c>
      <c r="L15" s="300">
        <f>(Projections!M19)</f>
        <v>33500</v>
      </c>
      <c r="M15" s="300">
        <f>(Projections!N19)</f>
        <v>33500</v>
      </c>
      <c r="N15" s="300">
        <f>(Projections!O19)</f>
        <v>33500</v>
      </c>
      <c r="O15" s="300">
        <f>(Projections!P19)</f>
        <v>33500</v>
      </c>
      <c r="P15" s="301">
        <f>SUM(D15:O15)</f>
        <v>676700</v>
      </c>
      <c r="Q15" s="7"/>
    </row>
    <row r="16" spans="1:17" x14ac:dyDescent="0.2">
      <c r="A16" s="6"/>
      <c r="C16" s="309" t="s">
        <v>464</v>
      </c>
      <c r="D16" s="61">
        <f>(Projections!$D$7)</f>
        <v>3</v>
      </c>
      <c r="E16" s="61">
        <f>(Projections!$D$7)</f>
        <v>3</v>
      </c>
      <c r="F16" s="61">
        <f>(Projections!$D$7)</f>
        <v>3</v>
      </c>
      <c r="G16" s="61">
        <f>(Projections!$D$7)</f>
        <v>3</v>
      </c>
      <c r="H16" s="61">
        <f>(Projections!$D$7)</f>
        <v>3</v>
      </c>
      <c r="I16" s="61">
        <f>(Projections!$D$7)</f>
        <v>3</v>
      </c>
      <c r="J16" s="61">
        <f>(Projections!$D$7)</f>
        <v>3</v>
      </c>
      <c r="K16" s="61">
        <f>(Projections!$D$7)</f>
        <v>3</v>
      </c>
      <c r="L16" s="61">
        <f>(Projections!$D$7)</f>
        <v>3</v>
      </c>
      <c r="M16" s="61">
        <f>(Projections!$D$7)</f>
        <v>3</v>
      </c>
      <c r="N16" s="61">
        <f>(Projections!$D$7)</f>
        <v>3</v>
      </c>
      <c r="O16" s="61">
        <f>(Projections!$D$7)</f>
        <v>3</v>
      </c>
      <c r="P16" s="291"/>
      <c r="Q16" s="7"/>
    </row>
    <row r="17" spans="1:17" x14ac:dyDescent="0.2">
      <c r="A17" s="6"/>
      <c r="C17" s="297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96"/>
      <c r="Q17" s="7"/>
    </row>
    <row r="18" spans="1:17" x14ac:dyDescent="0.2">
      <c r="A18" s="6"/>
      <c r="C18" s="1" t="s">
        <v>465</v>
      </c>
      <c r="P18" s="296"/>
      <c r="Q18" s="7"/>
    </row>
    <row r="19" spans="1:17" x14ac:dyDescent="0.2">
      <c r="A19" s="6"/>
      <c r="C19" s="298" t="s">
        <v>412</v>
      </c>
      <c r="D19" s="312">
        <f>SUM(D20:D35)</f>
        <v>0</v>
      </c>
      <c r="E19" s="312">
        <f>SUM(E20:E35)</f>
        <v>0</v>
      </c>
      <c r="F19" s="312">
        <f>SUM(F20:F35)</f>
        <v>0</v>
      </c>
      <c r="G19" s="312">
        <f t="shared" ref="G19:O19" si="1">SUM(G20:G35)</f>
        <v>0</v>
      </c>
      <c r="H19" s="312">
        <f t="shared" si="1"/>
        <v>0</v>
      </c>
      <c r="I19" s="312">
        <f t="shared" si="1"/>
        <v>0</v>
      </c>
      <c r="J19" s="312">
        <f t="shared" si="1"/>
        <v>0</v>
      </c>
      <c r="K19" s="312">
        <f t="shared" si="1"/>
        <v>0</v>
      </c>
      <c r="L19" s="312">
        <f t="shared" si="1"/>
        <v>0</v>
      </c>
      <c r="M19" s="312">
        <f t="shared" si="1"/>
        <v>0</v>
      </c>
      <c r="N19" s="312">
        <f t="shared" si="1"/>
        <v>0</v>
      </c>
      <c r="O19" s="312">
        <f t="shared" si="1"/>
        <v>0</v>
      </c>
      <c r="P19" s="315">
        <f t="shared" ref="P19:P63" si="2">SUM(D19:O19)</f>
        <v>0</v>
      </c>
      <c r="Q19" s="7"/>
    </row>
    <row r="20" spans="1:17" x14ac:dyDescent="0.2">
      <c r="A20" s="6"/>
      <c r="C20" s="304" t="s">
        <v>415</v>
      </c>
      <c r="D20" s="301">
        <v>0</v>
      </c>
      <c r="E20" s="301">
        <f>(Projections!$D$30*(Projections!F30/100))*-1</f>
        <v>0</v>
      </c>
      <c r="F20" s="301">
        <f>(Projections!$D$30*(Projections!G30/100))*-1</f>
        <v>0</v>
      </c>
      <c r="G20" s="301">
        <f>(Projections!$D$30*(Projections!H30/100))*-1</f>
        <v>0</v>
      </c>
      <c r="H20" s="301">
        <f>(Projections!$D$30*(Projections!I30/100))*-1</f>
        <v>0</v>
      </c>
      <c r="I20" s="301">
        <f>(Projections!$D$30*(Projections!J30/100))*-1</f>
        <v>0</v>
      </c>
      <c r="J20" s="301">
        <f>(Projections!$D$30*(Projections!K30/100))*-1</f>
        <v>0</v>
      </c>
      <c r="K20" s="301">
        <f>(Projections!$D$30*(Projections!L30/100))*-1</f>
        <v>0</v>
      </c>
      <c r="L20" s="301">
        <f>(Projections!$D$30*(Projections!M30/100))*-1</f>
        <v>0</v>
      </c>
      <c r="M20" s="301">
        <f>(Projections!$D$30*(Projections!N30/100))*-1</f>
        <v>0</v>
      </c>
      <c r="N20" s="301">
        <f>(Projections!$D$30*(Projections!O30/100))*-1</f>
        <v>0</v>
      </c>
      <c r="O20" s="301">
        <f>(Projections!$D$30*(Projections!P30/100))*-1</f>
        <v>0</v>
      </c>
      <c r="P20" s="290">
        <f t="shared" si="2"/>
        <v>0</v>
      </c>
      <c r="Q20" s="7"/>
    </row>
    <row r="21" spans="1:17" x14ac:dyDescent="0.2">
      <c r="A21" s="6"/>
      <c r="C21" s="305" t="s">
        <v>416</v>
      </c>
      <c r="D21" s="290">
        <v>0</v>
      </c>
      <c r="E21" s="290">
        <f>(Projections!$D$31*(Projections!F31/100))*-1</f>
        <v>0</v>
      </c>
      <c r="F21" s="290">
        <f>(Projections!$D$31*(Projections!G31/100))*-1</f>
        <v>0</v>
      </c>
      <c r="G21" s="290">
        <f>(Projections!$D$31*(Projections!H31/100))*-1</f>
        <v>0</v>
      </c>
      <c r="H21" s="290">
        <f>(Projections!$D$31*(Projections!I31/100))*-1</f>
        <v>0</v>
      </c>
      <c r="I21" s="290">
        <f>(Projections!$D$31*(Projections!J31/100))*-1</f>
        <v>0</v>
      </c>
      <c r="J21" s="290">
        <f>(Projections!$D$31*(Projections!K31/100))*-1</f>
        <v>0</v>
      </c>
      <c r="K21" s="290">
        <f>(Projections!$D$31*(Projections!L31/100))*-1</f>
        <v>0</v>
      </c>
      <c r="L21" s="290">
        <f>(Projections!$D$31*(Projections!M31/100))*-1</f>
        <v>0</v>
      </c>
      <c r="M21" s="290">
        <f>(Projections!$D$31*(Projections!N31/100))*-1</f>
        <v>0</v>
      </c>
      <c r="N21" s="290">
        <f>(Projections!$D$31*(Projections!O31/100))*-1</f>
        <v>0</v>
      </c>
      <c r="O21" s="290">
        <f>(Projections!$D$31*(Projections!P31/100))*-1</f>
        <v>0</v>
      </c>
      <c r="P21" s="290">
        <f t="shared" si="2"/>
        <v>0</v>
      </c>
      <c r="Q21" s="7"/>
    </row>
    <row r="22" spans="1:17" x14ac:dyDescent="0.2">
      <c r="A22" s="6"/>
      <c r="C22" s="305" t="s">
        <v>418</v>
      </c>
      <c r="D22" s="290">
        <v>0</v>
      </c>
      <c r="E22" s="290">
        <f>(Projections!$D$32*(Projections!F32/100))*-1</f>
        <v>0</v>
      </c>
      <c r="F22" s="290">
        <f>(Projections!$D$32*(Projections!G32/100))*-1</f>
        <v>0</v>
      </c>
      <c r="G22" s="290">
        <f>(Projections!$D$32*(Projections!H32/100))*-1</f>
        <v>0</v>
      </c>
      <c r="H22" s="290">
        <f>(Projections!$D$32*(Projections!I32/100))*-1</f>
        <v>0</v>
      </c>
      <c r="I22" s="290">
        <f>(Projections!$D$32*(Projections!J32/100))*-1</f>
        <v>0</v>
      </c>
      <c r="J22" s="290">
        <f>(Projections!$D$32*(Projections!K32/100))*-1</f>
        <v>0</v>
      </c>
      <c r="K22" s="290">
        <f>(Projections!$D$32*(Projections!L32/100))*-1</f>
        <v>0</v>
      </c>
      <c r="L22" s="290">
        <f>(Projections!$D$32*(Projections!M32/100))*-1</f>
        <v>0</v>
      </c>
      <c r="M22" s="290">
        <f>(Projections!$D$32*(Projections!N32/100))*-1</f>
        <v>0</v>
      </c>
      <c r="N22" s="290">
        <f>(Projections!$D$32*(Projections!O32/100))*-1</f>
        <v>0</v>
      </c>
      <c r="O22" s="290">
        <f>(Projections!$D$32*(Projections!P32/100))*-1</f>
        <v>0</v>
      </c>
      <c r="P22" s="290">
        <f t="shared" si="2"/>
        <v>0</v>
      </c>
      <c r="Q22" s="7"/>
    </row>
    <row r="23" spans="1:17" x14ac:dyDescent="0.2">
      <c r="A23" s="6"/>
      <c r="C23" s="305" t="s">
        <v>417</v>
      </c>
      <c r="D23" s="290">
        <v>0</v>
      </c>
      <c r="E23" s="290">
        <f>(Projections!$D$33*(Projections!F33/100))*-1</f>
        <v>0</v>
      </c>
      <c r="F23" s="290">
        <f>(Projections!$D$33*(Projections!G33/100))*-1</f>
        <v>0</v>
      </c>
      <c r="G23" s="290">
        <f>(Projections!$D$33*(Projections!H33/100))*-1</f>
        <v>0</v>
      </c>
      <c r="H23" s="290">
        <f>(Projections!$D$33*(Projections!I33/100))*-1</f>
        <v>0</v>
      </c>
      <c r="I23" s="290">
        <f>(Projections!$D$33*(Projections!J33/100))*-1</f>
        <v>0</v>
      </c>
      <c r="J23" s="290">
        <f>(Projections!$D$33*(Projections!K33/100))*-1</f>
        <v>0</v>
      </c>
      <c r="K23" s="290">
        <f>(Projections!$D$33*(Projections!L33/100))*-1</f>
        <v>0</v>
      </c>
      <c r="L23" s="290">
        <f>(Projections!$D$33*(Projections!M33/100))*-1</f>
        <v>0</v>
      </c>
      <c r="M23" s="290">
        <f>(Projections!$D$33*(Projections!N33/100))*-1</f>
        <v>0</v>
      </c>
      <c r="N23" s="290">
        <f>(Projections!$D$33*(Projections!O33/100))*-1</f>
        <v>0</v>
      </c>
      <c r="O23" s="290">
        <f>(Projections!$D$33*(Projections!P33/100))*-1</f>
        <v>0</v>
      </c>
      <c r="P23" s="290">
        <f t="shared" si="2"/>
        <v>0</v>
      </c>
      <c r="Q23" s="7"/>
    </row>
    <row r="24" spans="1:17" x14ac:dyDescent="0.2">
      <c r="A24" s="6"/>
      <c r="C24" s="305" t="s">
        <v>419</v>
      </c>
      <c r="D24" s="290">
        <v>0</v>
      </c>
      <c r="E24" s="290">
        <f>(Projections!$D$34*(Projections!F34/100))*-1</f>
        <v>0</v>
      </c>
      <c r="F24" s="290">
        <f>(Projections!$D$34*(Projections!G34/100))*-1</f>
        <v>0</v>
      </c>
      <c r="G24" s="290">
        <f>(Projections!$D$34*(Projections!H34/100))*-1</f>
        <v>0</v>
      </c>
      <c r="H24" s="290">
        <f>(Projections!$D$34*(Projections!I34/100))*-1</f>
        <v>0</v>
      </c>
      <c r="I24" s="290">
        <f>(Projections!$D$34*(Projections!J34/100))*-1</f>
        <v>0</v>
      </c>
      <c r="J24" s="290">
        <f>(Projections!$D$34*(Projections!K34/100))*-1</f>
        <v>0</v>
      </c>
      <c r="K24" s="290">
        <f>(Projections!$D$34*(Projections!L34/100))*-1</f>
        <v>0</v>
      </c>
      <c r="L24" s="290">
        <f>(Projections!$D$34*(Projections!M34/100))*-1</f>
        <v>0</v>
      </c>
      <c r="M24" s="290">
        <f>(Projections!$D$34*(Projections!N34/100))*-1</f>
        <v>0</v>
      </c>
      <c r="N24" s="290">
        <f>(Projections!$D$34*(Projections!O34/100))*-1</f>
        <v>0</v>
      </c>
      <c r="O24" s="290">
        <f>(Projections!$D$34*(Projections!P34/100))*-1</f>
        <v>0</v>
      </c>
      <c r="P24" s="290">
        <f t="shared" si="2"/>
        <v>0</v>
      </c>
      <c r="Q24" s="7"/>
    </row>
    <row r="25" spans="1:17" x14ac:dyDescent="0.2">
      <c r="A25" s="6"/>
      <c r="C25" s="305" t="s">
        <v>420</v>
      </c>
      <c r="D25" s="290">
        <f>(Projections!$D$35*(Projections!E35/100))*-1</f>
        <v>0</v>
      </c>
      <c r="E25" s="290">
        <f>(Projections!$D$35*(Projections!F35/100))*-1</f>
        <v>0</v>
      </c>
      <c r="F25" s="290">
        <f>(Projections!$D$35*(Projections!G35/100))*-1</f>
        <v>0</v>
      </c>
      <c r="G25" s="290">
        <f>(Projections!$D$35*(Projections!H35/100))*-1</f>
        <v>0</v>
      </c>
      <c r="H25" s="290">
        <f>(Projections!$D$35*(Projections!I35/100))*-1</f>
        <v>0</v>
      </c>
      <c r="I25" s="290">
        <f>(Projections!$D$35*(Projections!J35/100))*-1</f>
        <v>0</v>
      </c>
      <c r="J25" s="290">
        <f>(Projections!$D$35*(Projections!K35/100))*-1</f>
        <v>0</v>
      </c>
      <c r="K25" s="290">
        <f>(Projections!$D$35*(Projections!L35/100))*-1</f>
        <v>0</v>
      </c>
      <c r="L25" s="290">
        <f>(Projections!$D$35*(Projections!M35/100))*-1</f>
        <v>0</v>
      </c>
      <c r="M25" s="290">
        <f>(Projections!$D$35*(Projections!N35/100))*-1</f>
        <v>0</v>
      </c>
      <c r="N25" s="290">
        <f>(Projections!$D$35*(Projections!O35/100))*-1</f>
        <v>0</v>
      </c>
      <c r="O25" s="290">
        <f>(Projections!$D$35*(Projections!P35/100))*-1</f>
        <v>0</v>
      </c>
      <c r="P25" s="290">
        <f t="shared" si="2"/>
        <v>0</v>
      </c>
      <c r="Q25" s="7"/>
    </row>
    <row r="26" spans="1:17" x14ac:dyDescent="0.2">
      <c r="A26" s="6"/>
      <c r="C26" s="305" t="s">
        <v>421</v>
      </c>
      <c r="D26" s="290">
        <f>(Projections!$D$36*(Projections!E36/100))*-1</f>
        <v>0</v>
      </c>
      <c r="E26" s="290">
        <f>(Projections!$D$36*(Projections!F36/100))*-1</f>
        <v>0</v>
      </c>
      <c r="F26" s="290">
        <f>(Projections!$D$36*(Projections!G36/100))*-1</f>
        <v>0</v>
      </c>
      <c r="G26" s="290">
        <f>(Projections!$D$36*(Projections!H36/100))*-1</f>
        <v>0</v>
      </c>
      <c r="H26" s="290">
        <f>(Projections!$D$36*(Projections!I36/100))*-1</f>
        <v>0</v>
      </c>
      <c r="I26" s="290">
        <f>(Projections!$D$36*(Projections!J36/100))*-1</f>
        <v>0</v>
      </c>
      <c r="J26" s="290">
        <f>(Projections!$D$36*(Projections!K36/100))*-1</f>
        <v>0</v>
      </c>
      <c r="K26" s="290">
        <f>(Projections!$D$36*(Projections!L36/100))*-1</f>
        <v>0</v>
      </c>
      <c r="L26" s="290">
        <f>(Projections!$D$36*(Projections!M36/100))*-1</f>
        <v>0</v>
      </c>
      <c r="M26" s="290">
        <f>(Projections!$D$36*(Projections!N36/100))*-1</f>
        <v>0</v>
      </c>
      <c r="N26" s="290">
        <f>(Projections!$D$36*(Projections!O36/100))*-1</f>
        <v>0</v>
      </c>
      <c r="O26" s="290">
        <f>(Projections!$D$36*(Projections!P36/100))*-1</f>
        <v>0</v>
      </c>
      <c r="P26" s="290">
        <f t="shared" si="2"/>
        <v>0</v>
      </c>
      <c r="Q26" s="7"/>
    </row>
    <row r="27" spans="1:17" x14ac:dyDescent="0.2">
      <c r="A27" s="6"/>
      <c r="C27" s="305" t="s">
        <v>422</v>
      </c>
      <c r="D27" s="290">
        <f>(Projections!$D$37*(Projections!E37/100))*-1</f>
        <v>0</v>
      </c>
      <c r="E27" s="290">
        <f>(Projections!$D$37*(Projections!F37/100))*-1</f>
        <v>0</v>
      </c>
      <c r="F27" s="290">
        <f>(Projections!$D$37*(Projections!G37/100))*-1</f>
        <v>0</v>
      </c>
      <c r="G27" s="290">
        <f>(Projections!$D$37*(Projections!H37/100))*-1</f>
        <v>0</v>
      </c>
      <c r="H27" s="290">
        <f>(Projections!$D$37*(Projections!I37/100))*-1</f>
        <v>0</v>
      </c>
      <c r="I27" s="290">
        <f>(Projections!$D$37*(Projections!J37/100))*-1</f>
        <v>0</v>
      </c>
      <c r="J27" s="290">
        <f>(Projections!$D$37*(Projections!K37/100))*-1</f>
        <v>0</v>
      </c>
      <c r="K27" s="290">
        <f>(Projections!$D$37*(Projections!L37/100))*-1</f>
        <v>0</v>
      </c>
      <c r="L27" s="290">
        <f>(Projections!$D$37*(Projections!M37/100))*-1</f>
        <v>0</v>
      </c>
      <c r="M27" s="290">
        <f>(Projections!$D$37*(Projections!N37/100))*-1</f>
        <v>0</v>
      </c>
      <c r="N27" s="290">
        <f>(Projections!$D$37*(Projections!O37/100))*-1</f>
        <v>0</v>
      </c>
      <c r="O27" s="290">
        <f>(Projections!$D$37*(Projections!P37/100))*-1</f>
        <v>0</v>
      </c>
      <c r="P27" s="290">
        <f t="shared" si="2"/>
        <v>0</v>
      </c>
      <c r="Q27" s="7"/>
    </row>
    <row r="28" spans="1:17" x14ac:dyDescent="0.2">
      <c r="A28" s="6"/>
      <c r="C28" s="305" t="s">
        <v>423</v>
      </c>
      <c r="D28" s="290">
        <f>(Projections!$D$38*(Projections!E38/100))*-1</f>
        <v>0</v>
      </c>
      <c r="E28" s="290">
        <f>(Projections!$D$38*(Projections!F38/100))*-1</f>
        <v>0</v>
      </c>
      <c r="F28" s="290">
        <f>(Projections!$D$38*(Projections!G38/100))*-1</f>
        <v>0</v>
      </c>
      <c r="G28" s="290">
        <f>(Projections!$D$38*(Projections!H38/100))*-1</f>
        <v>0</v>
      </c>
      <c r="H28" s="290">
        <f>(Projections!$D$38*(Projections!I38/100))*-1</f>
        <v>0</v>
      </c>
      <c r="I28" s="290">
        <f>(Projections!$D$38*(Projections!J38/100))*-1</f>
        <v>0</v>
      </c>
      <c r="J28" s="290">
        <f>(Projections!$D$38*(Projections!K38/100))*-1</f>
        <v>0</v>
      </c>
      <c r="K28" s="290">
        <f>(Projections!$D$38*(Projections!L38/100))*-1</f>
        <v>0</v>
      </c>
      <c r="L28" s="290">
        <f>(Projections!$D$38*(Projections!M38/100))*-1</f>
        <v>0</v>
      </c>
      <c r="M28" s="290">
        <f>(Projections!$D$38*(Projections!N38/100))*-1</f>
        <v>0</v>
      </c>
      <c r="N28" s="290">
        <f>(Projections!$D$38*(Projections!O38/100))*-1</f>
        <v>0</v>
      </c>
      <c r="O28" s="290">
        <f>(Projections!$D$38*(Projections!P38/100))*-1</f>
        <v>0</v>
      </c>
      <c r="P28" s="290">
        <f t="shared" si="2"/>
        <v>0</v>
      </c>
      <c r="Q28" s="7"/>
    </row>
    <row r="29" spans="1:17" x14ac:dyDescent="0.2">
      <c r="A29" s="6"/>
      <c r="C29" s="307" t="s">
        <v>424</v>
      </c>
      <c r="D29" s="290">
        <f>(Projections!$D$39*(Projections!E39/100))*-1</f>
        <v>0</v>
      </c>
      <c r="E29" s="290">
        <f>(Projections!$D$39*(Projections!F39/100))*-1</f>
        <v>0</v>
      </c>
      <c r="F29" s="290">
        <f>(Projections!$D$39*(Projections!G39/100))*-1</f>
        <v>0</v>
      </c>
      <c r="G29" s="290">
        <f>(Projections!$D$39*(Projections!H39/100))*-1</f>
        <v>0</v>
      </c>
      <c r="H29" s="290">
        <f>(Projections!$D$39*(Projections!I39/100))*-1</f>
        <v>0</v>
      </c>
      <c r="I29" s="290">
        <f>(Projections!$D$39*(Projections!J39/100))*-1</f>
        <v>0</v>
      </c>
      <c r="J29" s="290">
        <f>(Projections!$D$39*(Projections!K39/100))*-1</f>
        <v>0</v>
      </c>
      <c r="K29" s="290">
        <f>(Projections!$D$39*(Projections!L39/100))*-1</f>
        <v>0</v>
      </c>
      <c r="L29" s="290">
        <f>(Projections!$D$39*(Projections!M39/100))*-1</f>
        <v>0</v>
      </c>
      <c r="M29" s="290">
        <f>(Projections!$D$39*(Projections!N39/100))*-1</f>
        <v>0</v>
      </c>
      <c r="N29" s="290">
        <f>(Projections!$D$39*(Projections!O39/100))*-1</f>
        <v>0</v>
      </c>
      <c r="O29" s="290">
        <f>(Projections!$D$39*(Projections!P39/100))*-1</f>
        <v>0</v>
      </c>
      <c r="P29" s="290">
        <f t="shared" si="2"/>
        <v>0</v>
      </c>
      <c r="Q29" s="7"/>
    </row>
    <row r="30" spans="1:17" x14ac:dyDescent="0.2">
      <c r="A30" s="6"/>
      <c r="C30" s="307" t="s">
        <v>425</v>
      </c>
      <c r="D30" s="290">
        <f>(Projections!$D$40*(Projections!E40/100))*-1</f>
        <v>0</v>
      </c>
      <c r="E30" s="290">
        <f>(Projections!$D$40*(Projections!F40/100))*-1</f>
        <v>0</v>
      </c>
      <c r="F30" s="290">
        <f>(Projections!$D$40*(Projections!G40/100))*-1</f>
        <v>0</v>
      </c>
      <c r="G30" s="290">
        <f>(Projections!$D$40*(Projections!H40/100))*-1</f>
        <v>0</v>
      </c>
      <c r="H30" s="290">
        <f>(Projections!$D$40*(Projections!I40/100))*-1</f>
        <v>0</v>
      </c>
      <c r="I30" s="290">
        <f>(Projections!$D$40*(Projections!J40/100))*-1</f>
        <v>0</v>
      </c>
      <c r="J30" s="290">
        <f>(Projections!$D$40*(Projections!K40/100))*-1</f>
        <v>0</v>
      </c>
      <c r="K30" s="290">
        <f>(Projections!$D$40*(Projections!L40/100))*-1</f>
        <v>0</v>
      </c>
      <c r="L30" s="290">
        <f>(Projections!$D$40*(Projections!M40/100))*-1</f>
        <v>0</v>
      </c>
      <c r="M30" s="290">
        <f>(Projections!$D$40*(Projections!N40/100))*-1</f>
        <v>0</v>
      </c>
      <c r="N30" s="290">
        <f>(Projections!$D$40*(Projections!O40/100))*-1</f>
        <v>0</v>
      </c>
      <c r="O30" s="290">
        <f>(Projections!$D$40*(Projections!P40/100))*-1</f>
        <v>0</v>
      </c>
      <c r="P30" s="290">
        <f t="shared" si="2"/>
        <v>0</v>
      </c>
      <c r="Q30" s="7"/>
    </row>
    <row r="31" spans="1:17" x14ac:dyDescent="0.2">
      <c r="A31" s="6"/>
      <c r="C31" s="305" t="s">
        <v>426</v>
      </c>
      <c r="D31" s="290">
        <v>0</v>
      </c>
      <c r="E31" s="290">
        <f>(Projections!$D$41*(Projections!F41/100))*-1</f>
        <v>0</v>
      </c>
      <c r="F31" s="290">
        <f>(Projections!$D$41*(Projections!G41/100))*-1</f>
        <v>0</v>
      </c>
      <c r="G31" s="290">
        <f>(Projections!$D$41*(Projections!H41/100))*-1</f>
        <v>0</v>
      </c>
      <c r="H31" s="290">
        <f>(Projections!$D$41*(Projections!I41/100))*-1</f>
        <v>0</v>
      </c>
      <c r="I31" s="290">
        <f>(Projections!$D$41*(Projections!J41/100))*-1</f>
        <v>0</v>
      </c>
      <c r="J31" s="290">
        <f>(Projections!$D$41*(Projections!K41/100))*-1</f>
        <v>0</v>
      </c>
      <c r="K31" s="290">
        <f>(Projections!$D$41*(Projections!L41/100))*-1</f>
        <v>0</v>
      </c>
      <c r="L31" s="290">
        <f>(Projections!$D$41*(Projections!M41/100))*-1</f>
        <v>0</v>
      </c>
      <c r="M31" s="290">
        <f>(Projections!$D$41*(Projections!N41/100))*-1</f>
        <v>0</v>
      </c>
      <c r="N31" s="290">
        <f>(Projections!$D$41*(Projections!O41/100))*-1</f>
        <v>0</v>
      </c>
      <c r="O31" s="290">
        <f>(Projections!$D$41*(Projections!P41/100))*-1</f>
        <v>0</v>
      </c>
      <c r="P31" s="290">
        <f t="shared" si="2"/>
        <v>0</v>
      </c>
      <c r="Q31" s="7"/>
    </row>
    <row r="32" spans="1:17" x14ac:dyDescent="0.2">
      <c r="A32" s="6"/>
      <c r="C32" s="306" t="s">
        <v>466</v>
      </c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>
        <f t="shared" si="2"/>
        <v>0</v>
      </c>
      <c r="Q32" s="7"/>
    </row>
    <row r="33" spans="1:17" x14ac:dyDescent="0.2">
      <c r="A33" s="6"/>
      <c r="C33" s="306" t="s">
        <v>467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>
        <f t="shared" si="2"/>
        <v>0</v>
      </c>
      <c r="Q33" s="7"/>
    </row>
    <row r="34" spans="1:17" x14ac:dyDescent="0.2">
      <c r="A34" s="6"/>
      <c r="C34" s="306" t="s">
        <v>468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>
        <f t="shared" si="2"/>
        <v>0</v>
      </c>
      <c r="Q34" s="7"/>
    </row>
    <row r="35" spans="1:17" x14ac:dyDescent="0.2">
      <c r="A35" s="6"/>
      <c r="C35" s="303" t="s">
        <v>428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>
        <f t="shared" si="2"/>
        <v>0</v>
      </c>
      <c r="Q35" s="7"/>
    </row>
    <row r="36" spans="1:17" x14ac:dyDescent="0.2">
      <c r="A36" s="6"/>
      <c r="C36" s="299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7"/>
    </row>
    <row r="37" spans="1:17" x14ac:dyDescent="0.2">
      <c r="A37" s="6"/>
      <c r="C37" s="298" t="s">
        <v>469</v>
      </c>
      <c r="D37" s="312">
        <f>SUM(D38:D49)</f>
        <v>-60352</v>
      </c>
      <c r="E37" s="312">
        <f>SUM(E38:E49)</f>
        <v>-60352</v>
      </c>
      <c r="F37" s="312">
        <f>SUM(F38:F49)</f>
        <v>-60352</v>
      </c>
      <c r="G37" s="312">
        <f t="shared" ref="G37:O37" si="3">SUM(G38:G49)</f>
        <v>-60352</v>
      </c>
      <c r="H37" s="312">
        <f t="shared" si="3"/>
        <v>-60352</v>
      </c>
      <c r="I37" s="312">
        <f t="shared" si="3"/>
        <v>-95352</v>
      </c>
      <c r="J37" s="312">
        <f t="shared" si="3"/>
        <v>-60352</v>
      </c>
      <c r="K37" s="312">
        <f t="shared" si="3"/>
        <v>-60352</v>
      </c>
      <c r="L37" s="312">
        <f t="shared" si="3"/>
        <v>-60352</v>
      </c>
      <c r="M37" s="312">
        <f t="shared" si="3"/>
        <v>-60352</v>
      </c>
      <c r="N37" s="312">
        <f t="shared" si="3"/>
        <v>-60352</v>
      </c>
      <c r="O37" s="312">
        <f t="shared" si="3"/>
        <v>-95352</v>
      </c>
      <c r="P37" s="315">
        <f t="shared" si="2"/>
        <v>-794224</v>
      </c>
      <c r="Q37" s="7"/>
    </row>
    <row r="38" spans="1:17" x14ac:dyDescent="0.2">
      <c r="A38" s="6"/>
      <c r="C38" s="304" t="s">
        <v>430</v>
      </c>
      <c r="D38" s="301">
        <f>(Projections!$D49*(Projections!E49/100))*-1</f>
        <v>0</v>
      </c>
      <c r="E38" s="301">
        <f>(Projections!$D49*(Projections!F49/100))*-1</f>
        <v>0</v>
      </c>
      <c r="F38" s="301">
        <f>(Projections!$D49*(Projections!G49/100))*-1</f>
        <v>0</v>
      </c>
      <c r="G38" s="301">
        <f>(Projections!$D49*(Projections!H49/100))*-1</f>
        <v>0</v>
      </c>
      <c r="H38" s="301">
        <f>(Projections!$D49*(Projections!I49/100))*-1</f>
        <v>0</v>
      </c>
      <c r="I38" s="301">
        <f>(Projections!$D49*(Projections!J49/100))*-1</f>
        <v>-20000</v>
      </c>
      <c r="J38" s="301">
        <f>(Projections!$D49*(Projections!K49/100))*-1</f>
        <v>0</v>
      </c>
      <c r="K38" s="301">
        <f>(Projections!$D49*(Projections!L49/100))*-1</f>
        <v>0</v>
      </c>
      <c r="L38" s="301">
        <f>(Projections!$D49*(Projections!M49/100))*-1</f>
        <v>0</v>
      </c>
      <c r="M38" s="301">
        <f>(Projections!$D49*(Projections!N49/100))*-1</f>
        <v>0</v>
      </c>
      <c r="N38" s="301">
        <f>(Projections!$D49*(Projections!O49/100))*-1</f>
        <v>0</v>
      </c>
      <c r="O38" s="301">
        <f>(Projections!$D49*(Projections!P49/100))*-1</f>
        <v>-20000</v>
      </c>
      <c r="P38" s="290">
        <f t="shared" si="2"/>
        <v>-40000</v>
      </c>
      <c r="Q38" s="7"/>
    </row>
    <row r="39" spans="1:17" x14ac:dyDescent="0.2">
      <c r="A39" s="6"/>
      <c r="C39" s="305" t="s">
        <v>431</v>
      </c>
      <c r="D39" s="290">
        <f>(Projections!$D50*(Projections!E50/100))*-1</f>
        <v>0</v>
      </c>
      <c r="E39" s="290">
        <f>(Projections!$D50*(Projections!F50/100))*-1</f>
        <v>0</v>
      </c>
      <c r="F39" s="290">
        <f>(Projections!$D50*(Projections!G50/100))*-1</f>
        <v>0</v>
      </c>
      <c r="G39" s="290">
        <f>(Projections!$D50*(Projections!H50/100))*-1</f>
        <v>0</v>
      </c>
      <c r="H39" s="290">
        <f>(Projections!$D50*(Projections!I50/100))*-1</f>
        <v>0</v>
      </c>
      <c r="I39" s="290">
        <f>(Projections!$D50*(Projections!J50/100))*-1</f>
        <v>-15000</v>
      </c>
      <c r="J39" s="290">
        <f>(Projections!$D50*(Projections!K50/100))*-1</f>
        <v>0</v>
      </c>
      <c r="K39" s="290">
        <f>(Projections!$D50*(Projections!L50/100))*-1</f>
        <v>0</v>
      </c>
      <c r="L39" s="290">
        <f>(Projections!$D50*(Projections!M50/100))*-1</f>
        <v>0</v>
      </c>
      <c r="M39" s="290">
        <f>(Projections!$D50*(Projections!N50/100))*-1</f>
        <v>0</v>
      </c>
      <c r="N39" s="290">
        <f>(Projections!$D50*(Projections!O50/100))*-1</f>
        <v>0</v>
      </c>
      <c r="O39" s="290">
        <f>(Projections!$D50*(Projections!P50/100))*-1</f>
        <v>-15000</v>
      </c>
      <c r="P39" s="290">
        <f t="shared" si="2"/>
        <v>-30000</v>
      </c>
      <c r="Q39" s="7"/>
    </row>
    <row r="40" spans="1:17" x14ac:dyDescent="0.2">
      <c r="A40" s="6"/>
      <c r="C40" s="306" t="s">
        <v>185</v>
      </c>
      <c r="D40" s="290">
        <f>(Projections!$D51*(Projections!E51/100))*-1</f>
        <v>-7680</v>
      </c>
      <c r="E40" s="290">
        <f>(Projections!$D51*(Projections!F51/100))*-1</f>
        <v>-7680</v>
      </c>
      <c r="F40" s="290">
        <f>(Projections!$D51*(Projections!G51/100))*-1</f>
        <v>-7680</v>
      </c>
      <c r="G40" s="290">
        <f>(Projections!$D51*(Projections!H51/100))*-1</f>
        <v>-7680</v>
      </c>
      <c r="H40" s="290">
        <f>(Projections!$D51*(Projections!I51/100))*-1</f>
        <v>-7680</v>
      </c>
      <c r="I40" s="290">
        <f>(Projections!$D51*(Projections!J51/100))*-1</f>
        <v>-7680</v>
      </c>
      <c r="J40" s="290">
        <f>(Projections!$D51*(Projections!K51/100))*-1</f>
        <v>-7680</v>
      </c>
      <c r="K40" s="290">
        <f>(Projections!$D51*(Projections!L51/100))*-1</f>
        <v>-7680</v>
      </c>
      <c r="L40" s="290">
        <f>(Projections!$D51*(Projections!M51/100))*-1</f>
        <v>-7680</v>
      </c>
      <c r="M40" s="290">
        <f>(Projections!$D51*(Projections!N51/100))*-1</f>
        <v>-7680</v>
      </c>
      <c r="N40" s="290">
        <f>(Projections!$D51*(Projections!O51/100))*-1</f>
        <v>-7680</v>
      </c>
      <c r="O40" s="290">
        <f>(Projections!$D51*(Projections!P51/100))*-1</f>
        <v>-7680</v>
      </c>
      <c r="P40" s="290">
        <f t="shared" si="2"/>
        <v>-92160</v>
      </c>
      <c r="Q40" s="7"/>
    </row>
    <row r="41" spans="1:17" x14ac:dyDescent="0.2">
      <c r="A41" s="6"/>
      <c r="C41" s="306" t="s">
        <v>186</v>
      </c>
      <c r="D41" s="290">
        <f>(Projections!$D$52*(Projections!E52/100))*-1</f>
        <v>-640</v>
      </c>
      <c r="E41" s="290">
        <f>(Projections!$D$52*(Projections!F52/100))*-1</f>
        <v>-640</v>
      </c>
      <c r="F41" s="290">
        <f>(Projections!$D$52*(Projections!G52/100))*-1</f>
        <v>-640</v>
      </c>
      <c r="G41" s="290">
        <f>(Projections!$D$52*(Projections!H52/100))*-1</f>
        <v>-640</v>
      </c>
      <c r="H41" s="290">
        <f>(Projections!$D$52*(Projections!I52/100))*-1</f>
        <v>-640</v>
      </c>
      <c r="I41" s="290">
        <f>(Projections!$D$52*(Projections!J52/100))*-1</f>
        <v>-640</v>
      </c>
      <c r="J41" s="290">
        <f>(Projections!$D$52*(Projections!K52/100))*-1</f>
        <v>-640</v>
      </c>
      <c r="K41" s="290">
        <f>(Projections!$D$52*(Projections!L52/100))*-1</f>
        <v>-640</v>
      </c>
      <c r="L41" s="290">
        <f>(Projections!$D$52*(Projections!M52/100))*-1</f>
        <v>-640</v>
      </c>
      <c r="M41" s="290">
        <f>(Projections!$D$52*(Projections!N52/100))*-1</f>
        <v>-640</v>
      </c>
      <c r="N41" s="290">
        <f>(Projections!$D$52*(Projections!O52/100))*-1</f>
        <v>-640</v>
      </c>
      <c r="O41" s="290">
        <f>(Projections!$D$52*(Projections!P52/100))*-1</f>
        <v>-640</v>
      </c>
      <c r="P41" s="290">
        <f t="shared" si="2"/>
        <v>-7680</v>
      </c>
      <c r="Q41" s="7"/>
    </row>
    <row r="42" spans="1:17" x14ac:dyDescent="0.2">
      <c r="A42" s="6"/>
      <c r="C42" s="306" t="s">
        <v>187</v>
      </c>
      <c r="D42" s="290">
        <f>(Projections!$D$53*(Projections!E53/100))*-1</f>
        <v>-960</v>
      </c>
      <c r="E42" s="290">
        <f>(Projections!$D$53*(Projections!F53/100))*-1</f>
        <v>-960</v>
      </c>
      <c r="F42" s="290">
        <f>(Projections!$D$53*(Projections!G53/100))*-1</f>
        <v>-960</v>
      </c>
      <c r="G42" s="290">
        <f>(Projections!$D$53*(Projections!H53/100))*-1</f>
        <v>-960</v>
      </c>
      <c r="H42" s="290">
        <f>(Projections!$D$53*(Projections!I53/100))*-1</f>
        <v>-960</v>
      </c>
      <c r="I42" s="290">
        <f>(Projections!$D$53*(Projections!J53/100))*-1</f>
        <v>-960</v>
      </c>
      <c r="J42" s="290">
        <f>(Projections!$D$53*(Projections!K53/100))*-1</f>
        <v>-960</v>
      </c>
      <c r="K42" s="290">
        <f>(Projections!$D$53*(Projections!L53/100))*-1</f>
        <v>-960</v>
      </c>
      <c r="L42" s="290">
        <f>(Projections!$D$53*(Projections!M53/100))*-1</f>
        <v>-960</v>
      </c>
      <c r="M42" s="290">
        <f>(Projections!$D$53*(Projections!N53/100))*-1</f>
        <v>-960</v>
      </c>
      <c r="N42" s="290">
        <f>(Projections!$D$53*(Projections!O53/100))*-1</f>
        <v>-960</v>
      </c>
      <c r="O42" s="290">
        <f>(Projections!$D$53*(Projections!P53/100))*-1</f>
        <v>-960</v>
      </c>
      <c r="P42" s="290">
        <f t="shared" si="2"/>
        <v>-11520</v>
      </c>
      <c r="Q42" s="7"/>
    </row>
    <row r="43" spans="1:17" x14ac:dyDescent="0.2">
      <c r="A43" s="6"/>
      <c r="C43" s="306" t="s">
        <v>191</v>
      </c>
      <c r="D43" s="290">
        <f>(Projections!$D$54*(Projections!E54/100))*-1</f>
        <v>-1152</v>
      </c>
      <c r="E43" s="290">
        <f>(Projections!$D$54*(Projections!F54/100))*-1</f>
        <v>-1152</v>
      </c>
      <c r="F43" s="290">
        <f>(Projections!$D$54*(Projections!G54/100))*-1</f>
        <v>-1152</v>
      </c>
      <c r="G43" s="290">
        <f>(Projections!$D$54*(Projections!H54/100))*-1</f>
        <v>-1152</v>
      </c>
      <c r="H43" s="290">
        <f>(Projections!$D$54*(Projections!I54/100))*-1</f>
        <v>-1152</v>
      </c>
      <c r="I43" s="290">
        <f>(Projections!$D$54*(Projections!J54/100))*-1</f>
        <v>-1152</v>
      </c>
      <c r="J43" s="290">
        <f>(Projections!$D$54*(Projections!K54/100))*-1</f>
        <v>-1152</v>
      </c>
      <c r="K43" s="290">
        <f>(Projections!$D$54*(Projections!L54/100))*-1</f>
        <v>-1152</v>
      </c>
      <c r="L43" s="290">
        <f>(Projections!$D$54*(Projections!M54/100))*-1</f>
        <v>-1152</v>
      </c>
      <c r="M43" s="290">
        <f>(Projections!$D$54*(Projections!N54/100))*-1</f>
        <v>-1152</v>
      </c>
      <c r="N43" s="290">
        <f>(Projections!$D$54*(Projections!O54/100))*-1</f>
        <v>-1152</v>
      </c>
      <c r="O43" s="290">
        <f>(Projections!$D$54*(Projections!P54/100))*-1</f>
        <v>-1152</v>
      </c>
      <c r="P43" s="290">
        <f t="shared" si="2"/>
        <v>-13824</v>
      </c>
      <c r="Q43" s="7"/>
    </row>
    <row r="44" spans="1:17" x14ac:dyDescent="0.2">
      <c r="A44" s="6"/>
      <c r="C44" s="306" t="s">
        <v>193</v>
      </c>
      <c r="D44" s="290">
        <f>(Projections!$D$55*(Projections!E55/100))*-1</f>
        <v>0</v>
      </c>
      <c r="E44" s="290">
        <f>(Projections!$D$55*(Projections!F55/100))*-1</f>
        <v>0</v>
      </c>
      <c r="F44" s="290">
        <f>(Projections!$D$55*(Projections!G55/100))*-1</f>
        <v>0</v>
      </c>
      <c r="G44" s="290">
        <f>(Projections!$D$55*(Projections!H55/100))*-1</f>
        <v>0</v>
      </c>
      <c r="H44" s="290">
        <f>(Projections!$D$55*(Projections!I55/100))*-1</f>
        <v>0</v>
      </c>
      <c r="I44" s="290">
        <f>(Projections!$D$55*(Projections!J55/100))*-1</f>
        <v>0</v>
      </c>
      <c r="J44" s="290">
        <f>(Projections!$D$55*(Projections!K55/100))*-1</f>
        <v>0</v>
      </c>
      <c r="K44" s="290">
        <f>(Projections!$D$55*(Projections!L55/100))*-1</f>
        <v>0</v>
      </c>
      <c r="L44" s="290">
        <f>(Projections!$D$55*(Projections!M55/100))*-1</f>
        <v>0</v>
      </c>
      <c r="M44" s="290">
        <f>(Projections!$D$55*(Projections!N55/100))*-1</f>
        <v>0</v>
      </c>
      <c r="N44" s="290">
        <f>(Projections!$D$55*(Projections!O55/100))*-1</f>
        <v>0</v>
      </c>
      <c r="O44" s="290">
        <f>(Projections!$D$55*(Projections!P55/100))*-1</f>
        <v>0</v>
      </c>
      <c r="P44" s="290">
        <f t="shared" si="2"/>
        <v>0</v>
      </c>
      <c r="Q44" s="7"/>
    </row>
    <row r="45" spans="1:17" x14ac:dyDescent="0.2">
      <c r="A45" s="6"/>
      <c r="C45" s="306" t="s">
        <v>188</v>
      </c>
      <c r="D45" s="290">
        <f>(Projections!$D$56*(Projections!E56/100))*-1</f>
        <v>-28800</v>
      </c>
      <c r="E45" s="290">
        <f>(Projections!$D$56*(Projections!F56/100))*-1</f>
        <v>-28800</v>
      </c>
      <c r="F45" s="290">
        <f>(Projections!$D$56*(Projections!G56/100))*-1</f>
        <v>-28800</v>
      </c>
      <c r="G45" s="290">
        <f>(Projections!$D$56*(Projections!H56/100))*-1</f>
        <v>-28800</v>
      </c>
      <c r="H45" s="290">
        <f>(Projections!$D$56*(Projections!I56/100))*-1</f>
        <v>-28800</v>
      </c>
      <c r="I45" s="290">
        <f>(Projections!$D$56*(Projections!J56/100))*-1</f>
        <v>-28800</v>
      </c>
      <c r="J45" s="290">
        <f>(Projections!$D$56*(Projections!K56/100))*-1</f>
        <v>-28800</v>
      </c>
      <c r="K45" s="290">
        <f>(Projections!$D$56*(Projections!L56/100))*-1</f>
        <v>-28800</v>
      </c>
      <c r="L45" s="290">
        <f>(Projections!$D$56*(Projections!M56/100))*-1</f>
        <v>-28800</v>
      </c>
      <c r="M45" s="290">
        <f>(Projections!$D$56*(Projections!N56/100))*-1</f>
        <v>-28800</v>
      </c>
      <c r="N45" s="290">
        <f>(Projections!$D$56*(Projections!O56/100))*-1</f>
        <v>-28800</v>
      </c>
      <c r="O45" s="290">
        <f>(Projections!$D$56*(Projections!P56/100))*-1</f>
        <v>-28800</v>
      </c>
      <c r="P45" s="290">
        <f t="shared" si="2"/>
        <v>-345600</v>
      </c>
      <c r="Q45" s="7"/>
    </row>
    <row r="46" spans="1:17" x14ac:dyDescent="0.2">
      <c r="A46" s="6"/>
      <c r="C46" s="306" t="s">
        <v>189</v>
      </c>
      <c r="D46" s="290">
        <f>(Projections!$D$57*(Projections!E57/100))*-1</f>
        <v>-2400</v>
      </c>
      <c r="E46" s="290">
        <f>(Projections!$D$57*(Projections!F57/100))*-1</f>
        <v>-2400</v>
      </c>
      <c r="F46" s="290">
        <f>(Projections!$D$57*(Projections!G57/100))*-1</f>
        <v>-2400</v>
      </c>
      <c r="G46" s="290">
        <f>(Projections!$D$57*(Projections!H57/100))*-1</f>
        <v>-2400</v>
      </c>
      <c r="H46" s="290">
        <f>(Projections!$D$57*(Projections!I57/100))*-1</f>
        <v>-2400</v>
      </c>
      <c r="I46" s="290">
        <f>(Projections!$D$57*(Projections!J57/100))*-1</f>
        <v>-2400</v>
      </c>
      <c r="J46" s="290">
        <f>(Projections!$D$57*(Projections!K57/100))*-1</f>
        <v>-2400</v>
      </c>
      <c r="K46" s="290">
        <f>(Projections!$D$57*(Projections!L57/100))*-1</f>
        <v>-2400</v>
      </c>
      <c r="L46" s="290">
        <f>(Projections!$D$57*(Projections!M57/100))*-1</f>
        <v>-2400</v>
      </c>
      <c r="M46" s="290">
        <f>(Projections!$D$57*(Projections!N57/100))*-1</f>
        <v>-2400</v>
      </c>
      <c r="N46" s="290">
        <f>(Projections!$D$57*(Projections!O57/100))*-1</f>
        <v>-2400</v>
      </c>
      <c r="O46" s="290">
        <f>(Projections!$D$57*(Projections!P57/100))*-1</f>
        <v>-2400</v>
      </c>
      <c r="P46" s="290">
        <f t="shared" si="2"/>
        <v>-28800</v>
      </c>
      <c r="Q46" s="7"/>
    </row>
    <row r="47" spans="1:17" x14ac:dyDescent="0.2">
      <c r="A47" s="6"/>
      <c r="C47" s="306" t="s">
        <v>190</v>
      </c>
      <c r="D47" s="290">
        <f>(Projections!$D$58*(Projections!E58/100))*-1</f>
        <v>-11520</v>
      </c>
      <c r="E47" s="290">
        <f>(Projections!$D$58*(Projections!F58/100))*-1</f>
        <v>-11520</v>
      </c>
      <c r="F47" s="290">
        <f>(Projections!$D$58*(Projections!G58/100))*-1</f>
        <v>-11520</v>
      </c>
      <c r="G47" s="290">
        <f>(Projections!$D$58*(Projections!H58/100))*-1</f>
        <v>-11520</v>
      </c>
      <c r="H47" s="290">
        <f>(Projections!$D$58*(Projections!I58/100))*-1</f>
        <v>-11520</v>
      </c>
      <c r="I47" s="290">
        <f>(Projections!$D$58*(Projections!J58/100))*-1</f>
        <v>-11520</v>
      </c>
      <c r="J47" s="290">
        <f>(Projections!$D$58*(Projections!K58/100))*-1</f>
        <v>-11520</v>
      </c>
      <c r="K47" s="290">
        <f>(Projections!$D$58*(Projections!L58/100))*-1</f>
        <v>-11520</v>
      </c>
      <c r="L47" s="290">
        <f>(Projections!$D$58*(Projections!M58/100))*-1</f>
        <v>-11520</v>
      </c>
      <c r="M47" s="290">
        <f>(Projections!$D$58*(Projections!N58/100))*-1</f>
        <v>-11520</v>
      </c>
      <c r="N47" s="290">
        <f>(Projections!$D$58*(Projections!O58/100))*-1</f>
        <v>-11520</v>
      </c>
      <c r="O47" s="290">
        <f>(Projections!$D$58*(Projections!P58/100))*-1</f>
        <v>-11520</v>
      </c>
      <c r="P47" s="290">
        <f t="shared" si="2"/>
        <v>-138240</v>
      </c>
      <c r="Q47" s="7"/>
    </row>
    <row r="48" spans="1:17" x14ac:dyDescent="0.2">
      <c r="A48" s="6"/>
      <c r="C48" s="306" t="s">
        <v>192</v>
      </c>
      <c r="D48" s="290">
        <f>(Projections!$D$59*(Projections!E59/100))*-1</f>
        <v>-7200</v>
      </c>
      <c r="E48" s="290">
        <f>(Projections!$D$59*(Projections!F59/100))*-1</f>
        <v>-7200</v>
      </c>
      <c r="F48" s="290">
        <f>(Projections!$D$59*(Projections!G59/100))*-1</f>
        <v>-7200</v>
      </c>
      <c r="G48" s="290">
        <f>(Projections!$D$59*(Projections!H59/100))*-1</f>
        <v>-7200</v>
      </c>
      <c r="H48" s="290">
        <f>(Projections!$D$59*(Projections!I59/100))*-1</f>
        <v>-7200</v>
      </c>
      <c r="I48" s="290">
        <f>(Projections!$D$59*(Projections!J59/100))*-1</f>
        <v>-7200</v>
      </c>
      <c r="J48" s="290">
        <f>(Projections!$D$59*(Projections!K59/100))*-1</f>
        <v>-7200</v>
      </c>
      <c r="K48" s="290">
        <f>(Projections!$D$59*(Projections!L59/100))*-1</f>
        <v>-7200</v>
      </c>
      <c r="L48" s="290">
        <f>(Projections!$D$59*(Projections!M59/100))*-1</f>
        <v>-7200</v>
      </c>
      <c r="M48" s="290">
        <f>(Projections!$D$59*(Projections!N59/100))*-1</f>
        <v>-7200</v>
      </c>
      <c r="N48" s="290">
        <f>(Projections!$D$59*(Projections!O59/100))*-1</f>
        <v>-7200</v>
      </c>
      <c r="O48" s="290">
        <f>(Projections!$D$59*(Projections!P59/100))*-1</f>
        <v>-7200</v>
      </c>
      <c r="P48" s="290">
        <f t="shared" si="2"/>
        <v>-86400</v>
      </c>
      <c r="Q48" s="7"/>
    </row>
    <row r="49" spans="1:17" x14ac:dyDescent="0.2">
      <c r="A49" s="6"/>
      <c r="C49" s="303" t="s">
        <v>194</v>
      </c>
      <c r="D49" s="291">
        <f>(Projections!$D$60*(Projections!E60/100))*-1</f>
        <v>0</v>
      </c>
      <c r="E49" s="291">
        <f>(Projections!$D$60*(Projections!F60/100))*-1</f>
        <v>0</v>
      </c>
      <c r="F49" s="291">
        <f>(Projections!$D$60*(Projections!G60/100))*-1</f>
        <v>0</v>
      </c>
      <c r="G49" s="291">
        <f>(Projections!$D$60*(Projections!H60/100))*-1</f>
        <v>0</v>
      </c>
      <c r="H49" s="291">
        <f>(Projections!$D$60*(Projections!I60/100))*-1</f>
        <v>0</v>
      </c>
      <c r="I49" s="291">
        <f>(Projections!$D$60*(Projections!J60/100))*-1</f>
        <v>0</v>
      </c>
      <c r="J49" s="291">
        <f>(Projections!$D$60*(Projections!K60/100))*-1</f>
        <v>0</v>
      </c>
      <c r="K49" s="291">
        <f>(Projections!$D$60*(Projections!L60/100))*-1</f>
        <v>0</v>
      </c>
      <c r="L49" s="291">
        <f>(Projections!$D$60*(Projections!M60/100))*-1</f>
        <v>0</v>
      </c>
      <c r="M49" s="291">
        <f>(Projections!$D$60*(Projections!N60/100))*-1</f>
        <v>0</v>
      </c>
      <c r="N49" s="291">
        <f>(Projections!$D$60*(Projections!O60/100))*-1</f>
        <v>0</v>
      </c>
      <c r="O49" s="291">
        <f>(Projections!$D$60*(Projections!P60/100))*-1</f>
        <v>0</v>
      </c>
      <c r="P49" s="291">
        <f t="shared" si="2"/>
        <v>0</v>
      </c>
      <c r="Q49" s="7"/>
    </row>
    <row r="50" spans="1:17" x14ac:dyDescent="0.2">
      <c r="A50" s="6"/>
      <c r="C50" s="298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7"/>
    </row>
    <row r="51" spans="1:17" x14ac:dyDescent="0.2">
      <c r="A51" s="6"/>
      <c r="C51" s="298" t="s">
        <v>411</v>
      </c>
      <c r="D51" s="312">
        <f>SUM(D52:D53)</f>
        <v>-562.50000000000011</v>
      </c>
      <c r="E51" s="312">
        <f>SUM(E52:E53)</f>
        <v>-146012.5</v>
      </c>
      <c r="F51" s="312">
        <f>SUM(F52:F53)</f>
        <v>-562.50000000000011</v>
      </c>
      <c r="G51" s="312">
        <f t="shared" ref="G51:O51" si="4">SUM(G52:G53)</f>
        <v>-562.50000000000011</v>
      </c>
      <c r="H51" s="312">
        <f t="shared" si="4"/>
        <v>-2362.5</v>
      </c>
      <c r="I51" s="312">
        <f t="shared" si="4"/>
        <v>-144212.5</v>
      </c>
      <c r="J51" s="312">
        <f t="shared" si="4"/>
        <v>-562.50000000000011</v>
      </c>
      <c r="K51" s="312">
        <f t="shared" si="4"/>
        <v>-2362.5</v>
      </c>
      <c r="L51" s="312">
        <f t="shared" si="4"/>
        <v>-562.50000000000011</v>
      </c>
      <c r="M51" s="312">
        <f t="shared" si="4"/>
        <v>-562.50000000000011</v>
      </c>
      <c r="N51" s="312">
        <f t="shared" si="4"/>
        <v>-2362.5</v>
      </c>
      <c r="O51" s="312">
        <f t="shared" si="4"/>
        <v>-562.50000000000011</v>
      </c>
      <c r="P51" s="315">
        <f t="shared" si="2"/>
        <v>-301250</v>
      </c>
      <c r="Q51" s="7"/>
    </row>
    <row r="52" spans="1:17" x14ac:dyDescent="0.2">
      <c r="A52" s="6"/>
      <c r="C52" s="302" t="s">
        <v>470</v>
      </c>
      <c r="D52" s="301">
        <f>(Projections!T2)*-1</f>
        <v>-562.50000000000011</v>
      </c>
      <c r="E52" s="301">
        <f>(Projections!U2)*-1</f>
        <v>-146012.5</v>
      </c>
      <c r="F52" s="301">
        <f>(Projections!V2)*-1</f>
        <v>-562.50000000000011</v>
      </c>
      <c r="G52" s="301">
        <f>(Projections!W2)*-1</f>
        <v>-562.50000000000011</v>
      </c>
      <c r="H52" s="301">
        <f>(Projections!X2)*-1</f>
        <v>-2362.5</v>
      </c>
      <c r="I52" s="301">
        <f>(Projections!Y2)*-1</f>
        <v>-144212.5</v>
      </c>
      <c r="J52" s="301">
        <f>(Projections!Z2)*-1</f>
        <v>-562.50000000000011</v>
      </c>
      <c r="K52" s="301">
        <f>(Projections!AA2)*-1</f>
        <v>-2362.5</v>
      </c>
      <c r="L52" s="301">
        <f>(Projections!AB2)*-1</f>
        <v>-562.50000000000011</v>
      </c>
      <c r="M52" s="301">
        <f>(Projections!AC2)*-1</f>
        <v>-562.50000000000011</v>
      </c>
      <c r="N52" s="301">
        <f>(Projections!AD2)*-1</f>
        <v>-2362.5</v>
      </c>
      <c r="O52" s="301">
        <f>(Projections!AE2)*-1</f>
        <v>-562.50000000000011</v>
      </c>
      <c r="P52" s="290">
        <f t="shared" si="2"/>
        <v>-301250</v>
      </c>
      <c r="Q52" s="7"/>
    </row>
    <row r="53" spans="1:17" x14ac:dyDescent="0.2">
      <c r="A53" s="6"/>
      <c r="C53" s="303" t="s">
        <v>471</v>
      </c>
      <c r="D53" s="291">
        <f>+($D$6*$D$7/100/12)*-1</f>
        <v>0</v>
      </c>
      <c r="E53" s="291">
        <f>+(($D$6+SUM(D62:D62))*$D$7/100/12)*-1</f>
        <v>0</v>
      </c>
      <c r="F53" s="291">
        <f>+(($D$6+SUM(D62:E62))*$D$7/100/12)*-1</f>
        <v>0</v>
      </c>
      <c r="G53" s="291">
        <f>+(($D$6+SUM(D62:F62))*$D$7/100/12)*-1</f>
        <v>0</v>
      </c>
      <c r="H53" s="291">
        <f>+(($D$6+SUM(D62:G62))*$D$7/100/12)*-1</f>
        <v>0</v>
      </c>
      <c r="I53" s="291">
        <f>+(($D$6+SUM(D62:H62))*$D$7/100/12)*-1</f>
        <v>0</v>
      </c>
      <c r="J53" s="291">
        <f>+(($D$6+SUM(D62:I62))*$D$7/100/12)*-1</f>
        <v>0</v>
      </c>
      <c r="K53" s="291">
        <f>+(($D$6+SUM(D62:J62))*$D$7/100/12)*-1</f>
        <v>0</v>
      </c>
      <c r="L53" s="291">
        <f>+(($D$6+SUM(D62:K62))*$D$7/100/12)*-1</f>
        <v>0</v>
      </c>
      <c r="M53" s="291">
        <f>+(($D$6+SUM(D62:L62))*$D$7/100/12)*-1</f>
        <v>0</v>
      </c>
      <c r="N53" s="291">
        <f>+(($D$6+SUM(D62:M62))*$D$7/100/12)*-1</f>
        <v>0</v>
      </c>
      <c r="O53" s="291">
        <f>+(($D$6+SUM(D62:N62))*$D$7/100/12)*-1</f>
        <v>0</v>
      </c>
      <c r="P53" s="291">
        <f t="shared" si="2"/>
        <v>0</v>
      </c>
      <c r="Q53" s="7"/>
    </row>
    <row r="54" spans="1:17" x14ac:dyDescent="0.2">
      <c r="A54" s="6"/>
      <c r="C54" s="298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7"/>
    </row>
    <row r="55" spans="1:17" x14ac:dyDescent="0.2">
      <c r="A55" s="6"/>
      <c r="P55" s="310"/>
      <c r="Q55" s="7"/>
    </row>
    <row r="56" spans="1:17" x14ac:dyDescent="0.2">
      <c r="A56" s="6"/>
      <c r="C56" s="66" t="s">
        <v>472</v>
      </c>
      <c r="D56" s="292">
        <f>(D51+D37)</f>
        <v>-60914.5</v>
      </c>
      <c r="E56" s="292">
        <f t="shared" ref="E56:O56" si="5">(E51+E37)</f>
        <v>-206364.5</v>
      </c>
      <c r="F56" s="292">
        <f t="shared" si="5"/>
        <v>-60914.5</v>
      </c>
      <c r="G56" s="292">
        <f t="shared" si="5"/>
        <v>-60914.5</v>
      </c>
      <c r="H56" s="292">
        <f t="shared" si="5"/>
        <v>-62714.5</v>
      </c>
      <c r="I56" s="292">
        <f t="shared" si="5"/>
        <v>-239564.5</v>
      </c>
      <c r="J56" s="292">
        <f t="shared" si="5"/>
        <v>-60914.5</v>
      </c>
      <c r="K56" s="292">
        <f t="shared" si="5"/>
        <v>-62714.5</v>
      </c>
      <c r="L56" s="292">
        <f t="shared" si="5"/>
        <v>-60914.5</v>
      </c>
      <c r="M56" s="292">
        <f t="shared" si="5"/>
        <v>-60914.5</v>
      </c>
      <c r="N56" s="292">
        <f t="shared" si="5"/>
        <v>-62714.5</v>
      </c>
      <c r="O56" s="292">
        <f t="shared" si="5"/>
        <v>-95914.5</v>
      </c>
      <c r="P56" s="291">
        <f t="shared" si="2"/>
        <v>-1095474</v>
      </c>
      <c r="Q56" s="7"/>
    </row>
    <row r="57" spans="1:17" x14ac:dyDescent="0.2">
      <c r="A57" s="6"/>
      <c r="C57" s="66" t="s">
        <v>474</v>
      </c>
      <c r="D57" s="292">
        <f>(D14+D56)</f>
        <v>59685.5</v>
      </c>
      <c r="E57" s="292">
        <f>(E14+E56)</f>
        <v>-105864.5</v>
      </c>
      <c r="F57" s="292">
        <f>(F14+F56)</f>
        <v>39585.5</v>
      </c>
      <c r="G57" s="292">
        <f t="shared" ref="G57:O57" si="6">(G14+G56)</f>
        <v>39585.5</v>
      </c>
      <c r="H57" s="292">
        <f t="shared" si="6"/>
        <v>238785.5</v>
      </c>
      <c r="I57" s="292">
        <f t="shared" si="6"/>
        <v>61935.5</v>
      </c>
      <c r="J57" s="292">
        <f t="shared" si="6"/>
        <v>240585.5</v>
      </c>
      <c r="K57" s="292">
        <f t="shared" si="6"/>
        <v>238785.5</v>
      </c>
      <c r="L57" s="292">
        <f t="shared" si="6"/>
        <v>39585.5</v>
      </c>
      <c r="M57" s="292">
        <f t="shared" si="6"/>
        <v>39585.5</v>
      </c>
      <c r="N57" s="292">
        <f t="shared" si="6"/>
        <v>37785.5</v>
      </c>
      <c r="O57" s="292">
        <f t="shared" si="6"/>
        <v>4585.5</v>
      </c>
      <c r="P57" s="292">
        <f t="shared" si="2"/>
        <v>934626</v>
      </c>
      <c r="Q57" s="7"/>
    </row>
    <row r="58" spans="1:17" x14ac:dyDescent="0.2">
      <c r="A58" s="6"/>
      <c r="C58" s="66" t="s">
        <v>480</v>
      </c>
      <c r="D58" s="292"/>
      <c r="E58" s="292"/>
      <c r="F58" s="292"/>
      <c r="G58" s="292"/>
      <c r="H58" s="292"/>
      <c r="I58" s="292">
        <f>(SUM($P$20:$P$31)*0.5*0.5)+(SUM('Cash Flow - Year 4'!$P$20:$P$31)*0.3*0.5)+(SUM('Cash Flow - Year 3'!$P$20:$P$31)*0.2*0.5)</f>
        <v>0</v>
      </c>
      <c r="J58" s="292"/>
      <c r="K58" s="292"/>
      <c r="L58" s="292"/>
      <c r="M58" s="292"/>
      <c r="N58" s="292"/>
      <c r="O58" s="292">
        <f>(SUM($P$20:$P$31)*0.5*0.5)+(SUM('Cash Flow - Year 4'!$P$20:$P$31)*0.3*0.5)+(SUM('Cash Flow - Year 3'!$P$20:$P$31)*0.2*0.5)</f>
        <v>0</v>
      </c>
      <c r="P58" s="292">
        <f t="shared" si="2"/>
        <v>0</v>
      </c>
      <c r="Q58" s="7"/>
    </row>
    <row r="59" spans="1:17" x14ac:dyDescent="0.2">
      <c r="A59" s="6"/>
      <c r="C59" s="66" t="s">
        <v>481</v>
      </c>
      <c r="D59" s="292">
        <f t="shared" ref="D59:O59" si="7">(D57+D58)</f>
        <v>59685.5</v>
      </c>
      <c r="E59" s="292">
        <f t="shared" si="7"/>
        <v>-105864.5</v>
      </c>
      <c r="F59" s="292">
        <f t="shared" si="7"/>
        <v>39585.5</v>
      </c>
      <c r="G59" s="292">
        <f t="shared" si="7"/>
        <v>39585.5</v>
      </c>
      <c r="H59" s="292">
        <f t="shared" si="7"/>
        <v>238785.5</v>
      </c>
      <c r="I59" s="292">
        <f t="shared" si="7"/>
        <v>61935.5</v>
      </c>
      <c r="J59" s="292">
        <f t="shared" si="7"/>
        <v>240585.5</v>
      </c>
      <c r="K59" s="292">
        <f t="shared" si="7"/>
        <v>238785.5</v>
      </c>
      <c r="L59" s="292">
        <f t="shared" si="7"/>
        <v>39585.5</v>
      </c>
      <c r="M59" s="292">
        <f t="shared" si="7"/>
        <v>39585.5</v>
      </c>
      <c r="N59" s="292">
        <f t="shared" si="7"/>
        <v>37785.5</v>
      </c>
      <c r="O59" s="292">
        <f t="shared" si="7"/>
        <v>4585.5</v>
      </c>
      <c r="P59" s="292">
        <f t="shared" si="2"/>
        <v>934626</v>
      </c>
      <c r="Q59" s="7"/>
    </row>
    <row r="60" spans="1:17" x14ac:dyDescent="0.2">
      <c r="A60" s="6"/>
      <c r="C60" s="66" t="s">
        <v>482</v>
      </c>
      <c r="D60" s="292">
        <f>(D59*($D$9/100))*-1</f>
        <v>0</v>
      </c>
      <c r="E60" s="292">
        <f>(E59*($D$9/100))*-1</f>
        <v>0</v>
      </c>
      <c r="F60" s="292">
        <f>(F59*($D$9/100))*-1</f>
        <v>0</v>
      </c>
      <c r="G60" s="292">
        <f t="shared" ref="G60:O60" si="8">(G59*($D$9/100))*-1</f>
        <v>0</v>
      </c>
      <c r="H60" s="292">
        <f t="shared" si="8"/>
        <v>0</v>
      </c>
      <c r="I60" s="292">
        <f t="shared" si="8"/>
        <v>0</v>
      </c>
      <c r="J60" s="292">
        <f t="shared" si="8"/>
        <v>0</v>
      </c>
      <c r="K60" s="292">
        <f t="shared" si="8"/>
        <v>0</v>
      </c>
      <c r="L60" s="292">
        <f t="shared" si="8"/>
        <v>0</v>
      </c>
      <c r="M60" s="292">
        <f t="shared" si="8"/>
        <v>0</v>
      </c>
      <c r="N60" s="292">
        <f t="shared" si="8"/>
        <v>0</v>
      </c>
      <c r="O60" s="292">
        <f t="shared" si="8"/>
        <v>0</v>
      </c>
      <c r="P60" s="292">
        <f t="shared" si="2"/>
        <v>0</v>
      </c>
      <c r="Q60" s="7"/>
    </row>
    <row r="61" spans="1:17" x14ac:dyDescent="0.2">
      <c r="A61" s="6"/>
      <c r="C61" s="66" t="s">
        <v>483</v>
      </c>
      <c r="D61" s="292">
        <f t="shared" ref="D61:O61" si="9">(D59+(D60))</f>
        <v>59685.5</v>
      </c>
      <c r="E61" s="292">
        <f t="shared" si="9"/>
        <v>-105864.5</v>
      </c>
      <c r="F61" s="292">
        <f t="shared" si="9"/>
        <v>39585.5</v>
      </c>
      <c r="G61" s="292">
        <f t="shared" si="9"/>
        <v>39585.5</v>
      </c>
      <c r="H61" s="292">
        <f t="shared" si="9"/>
        <v>238785.5</v>
      </c>
      <c r="I61" s="292">
        <f t="shared" si="9"/>
        <v>61935.5</v>
      </c>
      <c r="J61" s="292">
        <f t="shared" si="9"/>
        <v>240585.5</v>
      </c>
      <c r="K61" s="292">
        <f t="shared" si="9"/>
        <v>238785.5</v>
      </c>
      <c r="L61" s="292">
        <f t="shared" si="9"/>
        <v>39585.5</v>
      </c>
      <c r="M61" s="292">
        <f t="shared" si="9"/>
        <v>39585.5</v>
      </c>
      <c r="N61" s="292">
        <f t="shared" si="9"/>
        <v>37785.5</v>
      </c>
      <c r="O61" s="292">
        <f t="shared" si="9"/>
        <v>4585.5</v>
      </c>
      <c r="P61" s="292">
        <f t="shared" si="2"/>
        <v>934626</v>
      </c>
      <c r="Q61" s="7"/>
    </row>
    <row r="62" spans="1:17" ht="13.5" thickBot="1" x14ac:dyDescent="0.25">
      <c r="A62" s="6"/>
      <c r="C62" s="311" t="s">
        <v>475</v>
      </c>
      <c r="D62" s="301">
        <f>+($D$6/($D$8*12))*-1</f>
        <v>0</v>
      </c>
      <c r="E62" s="301">
        <f>+($D$6/($D$8*12))*-1</f>
        <v>0</v>
      </c>
      <c r="F62" s="301">
        <f>+($D$6/($D$8*12))*-1</f>
        <v>0</v>
      </c>
      <c r="G62" s="301">
        <f t="shared" ref="G62:O62" si="10">+($D$6/($D$8*12))*-1</f>
        <v>0</v>
      </c>
      <c r="H62" s="301">
        <f t="shared" si="10"/>
        <v>0</v>
      </c>
      <c r="I62" s="301">
        <f t="shared" si="10"/>
        <v>0</v>
      </c>
      <c r="J62" s="301">
        <f t="shared" si="10"/>
        <v>0</v>
      </c>
      <c r="K62" s="301">
        <f t="shared" si="10"/>
        <v>0</v>
      </c>
      <c r="L62" s="301">
        <f t="shared" si="10"/>
        <v>0</v>
      </c>
      <c r="M62" s="301">
        <f t="shared" si="10"/>
        <v>0</v>
      </c>
      <c r="N62" s="301">
        <f t="shared" si="10"/>
        <v>0</v>
      </c>
      <c r="O62" s="301">
        <f t="shared" si="10"/>
        <v>0</v>
      </c>
      <c r="P62" s="301">
        <f t="shared" si="2"/>
        <v>0</v>
      </c>
      <c r="Q62" s="7"/>
    </row>
    <row r="63" spans="1:17" ht="13.5" thickBot="1" x14ac:dyDescent="0.25">
      <c r="A63" s="6"/>
      <c r="C63" s="258" t="s">
        <v>484</v>
      </c>
      <c r="D63" s="313">
        <f t="shared" ref="D63:O63" si="11">(D57+D60+D62)</f>
        <v>59685.5</v>
      </c>
      <c r="E63" s="313">
        <f t="shared" si="11"/>
        <v>-105864.5</v>
      </c>
      <c r="F63" s="313">
        <f t="shared" si="11"/>
        <v>39585.5</v>
      </c>
      <c r="G63" s="313">
        <f t="shared" si="11"/>
        <v>39585.5</v>
      </c>
      <c r="H63" s="313">
        <f t="shared" si="11"/>
        <v>238785.5</v>
      </c>
      <c r="I63" s="313">
        <f t="shared" si="11"/>
        <v>61935.5</v>
      </c>
      <c r="J63" s="313">
        <f t="shared" si="11"/>
        <v>240585.5</v>
      </c>
      <c r="K63" s="313">
        <f t="shared" si="11"/>
        <v>238785.5</v>
      </c>
      <c r="L63" s="313">
        <f t="shared" si="11"/>
        <v>39585.5</v>
      </c>
      <c r="M63" s="313">
        <f t="shared" si="11"/>
        <v>39585.5</v>
      </c>
      <c r="N63" s="313">
        <f t="shared" si="11"/>
        <v>37785.5</v>
      </c>
      <c r="O63" s="313">
        <f t="shared" si="11"/>
        <v>4585.5</v>
      </c>
      <c r="P63" s="314">
        <f t="shared" si="2"/>
        <v>934626</v>
      </c>
      <c r="Q63" s="7"/>
    </row>
    <row r="64" spans="1:17" x14ac:dyDescent="0.2">
      <c r="A64" s="6"/>
      <c r="C64" s="265" t="s">
        <v>486</v>
      </c>
      <c r="D64" s="291">
        <f>('Cash Flow - Year 4'!P65)</f>
        <v>-140248.4934166664</v>
      </c>
      <c r="E64" s="291">
        <f>(D65)</f>
        <v>-80562.993416666402</v>
      </c>
      <c r="F64" s="291">
        <f>(E65)</f>
        <v>-186427.4934166664</v>
      </c>
      <c r="G64" s="291">
        <f t="shared" ref="G64:O64" si="12">(F65)</f>
        <v>-146841.9934166664</v>
      </c>
      <c r="H64" s="291">
        <f t="shared" si="12"/>
        <v>-107256.4934166664</v>
      </c>
      <c r="I64" s="291">
        <f t="shared" si="12"/>
        <v>131529.0065833336</v>
      </c>
      <c r="J64" s="291">
        <f t="shared" si="12"/>
        <v>193464.5065833336</v>
      </c>
      <c r="K64" s="291">
        <f t="shared" si="12"/>
        <v>434050.0065833336</v>
      </c>
      <c r="L64" s="291">
        <f t="shared" si="12"/>
        <v>672835.5065833336</v>
      </c>
      <c r="M64" s="291">
        <f t="shared" si="12"/>
        <v>712421.0065833336</v>
      </c>
      <c r="N64" s="291">
        <f t="shared" si="12"/>
        <v>752006.5065833336</v>
      </c>
      <c r="O64" s="291">
        <f t="shared" si="12"/>
        <v>789792.0065833336</v>
      </c>
      <c r="P64" s="46"/>
      <c r="Q64" s="7"/>
    </row>
    <row r="65" spans="1:17" ht="13.5" thickBot="1" x14ac:dyDescent="0.25">
      <c r="A65" s="6"/>
      <c r="C65" s="317" t="s">
        <v>487</v>
      </c>
      <c r="D65" s="301">
        <f t="shared" ref="D65:O65" si="13">(D63+D64)</f>
        <v>-80562.993416666402</v>
      </c>
      <c r="E65" s="301">
        <f t="shared" si="13"/>
        <v>-186427.4934166664</v>
      </c>
      <c r="F65" s="301">
        <f t="shared" si="13"/>
        <v>-146841.9934166664</v>
      </c>
      <c r="G65" s="301">
        <f t="shared" si="13"/>
        <v>-107256.4934166664</v>
      </c>
      <c r="H65" s="301">
        <f t="shared" si="13"/>
        <v>131529.0065833336</v>
      </c>
      <c r="I65" s="301">
        <f t="shared" si="13"/>
        <v>193464.5065833336</v>
      </c>
      <c r="J65" s="301">
        <f t="shared" si="13"/>
        <v>434050.0065833336</v>
      </c>
      <c r="K65" s="301">
        <f t="shared" si="13"/>
        <v>672835.5065833336</v>
      </c>
      <c r="L65" s="301">
        <f t="shared" si="13"/>
        <v>712421.0065833336</v>
      </c>
      <c r="M65" s="301">
        <f t="shared" si="13"/>
        <v>752006.5065833336</v>
      </c>
      <c r="N65" s="301">
        <f t="shared" si="13"/>
        <v>789792.0065833336</v>
      </c>
      <c r="O65" s="301">
        <f t="shared" si="13"/>
        <v>794377.5065833336</v>
      </c>
      <c r="P65" s="301">
        <f>(O65)*1.15</f>
        <v>913534.13257083355</v>
      </c>
      <c r="Q65" s="7"/>
    </row>
    <row r="66" spans="1:17" x14ac:dyDescent="0.2">
      <c r="A66" s="6"/>
      <c r="C66" s="272" t="s">
        <v>489</v>
      </c>
      <c r="D66" s="318">
        <f>(D60)</f>
        <v>0</v>
      </c>
      <c r="E66" s="318">
        <f>(D66+E60)</f>
        <v>0</v>
      </c>
      <c r="F66" s="318">
        <f t="shared" ref="F66:O66" si="14">(E66+F60)</f>
        <v>0</v>
      </c>
      <c r="G66" s="318">
        <f t="shared" si="14"/>
        <v>0</v>
      </c>
      <c r="H66" s="318">
        <f t="shared" si="14"/>
        <v>0</v>
      </c>
      <c r="I66" s="318">
        <f t="shared" si="14"/>
        <v>0</v>
      </c>
      <c r="J66" s="318">
        <f t="shared" si="14"/>
        <v>0</v>
      </c>
      <c r="K66" s="318">
        <f t="shared" si="14"/>
        <v>0</v>
      </c>
      <c r="L66" s="318">
        <f t="shared" si="14"/>
        <v>0</v>
      </c>
      <c r="M66" s="318">
        <f t="shared" si="14"/>
        <v>0</v>
      </c>
      <c r="N66" s="318">
        <f t="shared" si="14"/>
        <v>0</v>
      </c>
      <c r="O66" s="318">
        <f t="shared" si="14"/>
        <v>0</v>
      </c>
      <c r="P66" s="319">
        <f>(O66)</f>
        <v>0</v>
      </c>
      <c r="Q66" s="7"/>
    </row>
    <row r="67" spans="1:17" ht="13.5" thickBot="1" x14ac:dyDescent="0.25">
      <c r="A67" s="6"/>
      <c r="C67" s="257" t="s">
        <v>488</v>
      </c>
      <c r="D67" s="255"/>
      <c r="E67" s="255"/>
      <c r="F67" s="255"/>
      <c r="G67" s="255"/>
      <c r="H67" s="255"/>
      <c r="I67" s="320">
        <f>(P66/2)</f>
        <v>0</v>
      </c>
      <c r="J67" s="255"/>
      <c r="K67" s="255"/>
      <c r="L67" s="255"/>
      <c r="M67" s="255"/>
      <c r="N67" s="255"/>
      <c r="O67" s="320">
        <f>(O66-I67)</f>
        <v>0</v>
      </c>
      <c r="P67" s="323">
        <f>(O67+I67)</f>
        <v>0</v>
      </c>
      <c r="Q67" s="7"/>
    </row>
    <row r="68" spans="1:17" ht="13.5" thickBot="1" x14ac:dyDescent="0.25">
      <c r="A68" s="26"/>
      <c r="B68" s="27"/>
      <c r="C68" s="27"/>
      <c r="D68" s="31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68"/>
  <sheetViews>
    <sheetView topLeftCell="A28" workbookViewId="0">
      <selection activeCell="D64" sqref="D64"/>
    </sheetView>
  </sheetViews>
  <sheetFormatPr defaultRowHeight="12.75" x14ac:dyDescent="0.2"/>
  <cols>
    <col min="1" max="1" width="1.28515625" customWidth="1"/>
    <col min="2" max="2" width="1.7109375" customWidth="1"/>
    <col min="3" max="3" width="43.7109375" customWidth="1"/>
    <col min="4" max="16" width="13.7109375" customWidth="1"/>
    <col min="17" max="17" width="2.42578125" customWidth="1"/>
  </cols>
  <sheetData>
    <row r="1" spans="1:17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x14ac:dyDescent="0.2">
      <c r="A2" s="6"/>
      <c r="B2" s="24" t="s">
        <v>508</v>
      </c>
      <c r="C2" s="2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 t="s">
        <v>507</v>
      </c>
      <c r="Q2" s="7"/>
    </row>
    <row r="3" spans="1:17" ht="13.5" thickBot="1" x14ac:dyDescent="0.25">
      <c r="A3" s="6"/>
      <c r="Q3" s="7"/>
    </row>
    <row r="4" spans="1:17" ht="13.5" thickBot="1" x14ac:dyDescent="0.25">
      <c r="A4" s="6"/>
      <c r="C4" s="43" t="s">
        <v>461</v>
      </c>
      <c r="Q4" s="7"/>
    </row>
    <row r="5" spans="1:17" x14ac:dyDescent="0.2">
      <c r="A5" s="6"/>
      <c r="Q5" s="7"/>
    </row>
    <row r="6" spans="1:17" x14ac:dyDescent="0.2">
      <c r="A6" s="6"/>
      <c r="C6" s="88" t="s">
        <v>473</v>
      </c>
      <c r="D6" s="296">
        <f>('Cash Flow - Year 5'!D6+'Cash Flow - Year 5'!P62)</f>
        <v>0</v>
      </c>
      <c r="Q6" s="7"/>
    </row>
    <row r="7" spans="1:17" x14ac:dyDescent="0.2">
      <c r="A7" s="6"/>
      <c r="C7" s="88" t="s">
        <v>479</v>
      </c>
      <c r="D7">
        <v>21.5</v>
      </c>
      <c r="Q7" s="7"/>
    </row>
    <row r="8" spans="1:17" x14ac:dyDescent="0.2">
      <c r="A8" s="6"/>
      <c r="C8" s="88" t="s">
        <v>485</v>
      </c>
      <c r="D8">
        <f>IF(('Cash Flow - Year 5'!D8-1)&lt;=0,1,('Cash Flow - Year 5'!D8-1))</f>
        <v>1</v>
      </c>
      <c r="Q8" s="7"/>
    </row>
    <row r="9" spans="1:17" x14ac:dyDescent="0.2">
      <c r="A9" s="6"/>
      <c r="C9" s="88" t="s">
        <v>476</v>
      </c>
      <c r="D9">
        <v>0</v>
      </c>
      <c r="Q9" s="7"/>
    </row>
    <row r="10" spans="1:17" x14ac:dyDescent="0.2">
      <c r="A10" s="6"/>
      <c r="C10" s="88"/>
      <c r="Q10" s="7"/>
    </row>
    <row r="11" spans="1:17" ht="13.5" thickBot="1" x14ac:dyDescent="0.25">
      <c r="A11" s="6"/>
      <c r="Q11" s="7"/>
    </row>
    <row r="12" spans="1:17" ht="13.5" thickBot="1" x14ac:dyDescent="0.25">
      <c r="A12" s="6"/>
      <c r="C12" s="258" t="s">
        <v>234</v>
      </c>
      <c r="D12" s="281" t="s">
        <v>388</v>
      </c>
      <c r="E12" s="281" t="s">
        <v>389</v>
      </c>
      <c r="F12" s="281" t="s">
        <v>390</v>
      </c>
      <c r="G12" s="281" t="s">
        <v>391</v>
      </c>
      <c r="H12" s="281" t="s">
        <v>392</v>
      </c>
      <c r="I12" s="281" t="s">
        <v>393</v>
      </c>
      <c r="J12" s="281" t="s">
        <v>394</v>
      </c>
      <c r="K12" s="281" t="s">
        <v>395</v>
      </c>
      <c r="L12" s="281" t="s">
        <v>396</v>
      </c>
      <c r="M12" s="281" t="s">
        <v>397</v>
      </c>
      <c r="N12" s="281" t="s">
        <v>398</v>
      </c>
      <c r="O12" s="293" t="s">
        <v>399</v>
      </c>
      <c r="P12" s="294" t="s">
        <v>78</v>
      </c>
      <c r="Q12" s="7"/>
    </row>
    <row r="13" spans="1:17" x14ac:dyDescent="0.2">
      <c r="A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22"/>
      <c r="Q13" s="7"/>
    </row>
    <row r="14" spans="1:17" x14ac:dyDescent="0.2">
      <c r="A14" s="6"/>
      <c r="C14" s="295" t="s">
        <v>462</v>
      </c>
      <c r="D14" s="1">
        <f>(D15*D16)</f>
        <v>120600</v>
      </c>
      <c r="E14" s="1">
        <f>(E15*E16)</f>
        <v>100500</v>
      </c>
      <c r="F14" s="1">
        <f>(F15*F16)</f>
        <v>100500</v>
      </c>
      <c r="G14" s="1">
        <f t="shared" ref="G14:O14" si="0">(G15*G16)</f>
        <v>100500</v>
      </c>
      <c r="H14" s="1">
        <f t="shared" si="0"/>
        <v>301500</v>
      </c>
      <c r="I14" s="1">
        <f t="shared" si="0"/>
        <v>301500</v>
      </c>
      <c r="J14" s="1">
        <f t="shared" si="0"/>
        <v>301500</v>
      </c>
      <c r="K14" s="1">
        <f t="shared" si="0"/>
        <v>301500</v>
      </c>
      <c r="L14" s="1">
        <f t="shared" si="0"/>
        <v>100500</v>
      </c>
      <c r="M14" s="1">
        <f t="shared" si="0"/>
        <v>100500</v>
      </c>
      <c r="N14" s="1">
        <f t="shared" si="0"/>
        <v>100500</v>
      </c>
      <c r="O14" s="1">
        <f t="shared" si="0"/>
        <v>100500</v>
      </c>
      <c r="P14" s="312">
        <f>SUM(D14:O14)</f>
        <v>2030100</v>
      </c>
      <c r="Q14" s="7"/>
    </row>
    <row r="15" spans="1:17" x14ac:dyDescent="0.2">
      <c r="A15" s="6"/>
      <c r="C15" s="308" t="s">
        <v>463</v>
      </c>
      <c r="D15" s="300">
        <f>(Projections!E19)</f>
        <v>40200</v>
      </c>
      <c r="E15" s="300">
        <f>(Projections!F19)</f>
        <v>33500</v>
      </c>
      <c r="F15" s="300">
        <f>(Projections!G19)</f>
        <v>33500</v>
      </c>
      <c r="G15" s="300">
        <f>(Projections!H19)</f>
        <v>33500</v>
      </c>
      <c r="H15" s="300">
        <f>(Projections!I19)</f>
        <v>100500</v>
      </c>
      <c r="I15" s="300">
        <f>(Projections!J19)</f>
        <v>100500</v>
      </c>
      <c r="J15" s="300">
        <f>(Projections!K19)</f>
        <v>100500</v>
      </c>
      <c r="K15" s="300">
        <f>(Projections!L19)</f>
        <v>100500</v>
      </c>
      <c r="L15" s="300">
        <f>(Projections!M19)</f>
        <v>33500</v>
      </c>
      <c r="M15" s="300">
        <f>(Projections!N19)</f>
        <v>33500</v>
      </c>
      <c r="N15" s="300">
        <f>(Projections!O19)</f>
        <v>33500</v>
      </c>
      <c r="O15" s="300">
        <f>(Projections!P19)</f>
        <v>33500</v>
      </c>
      <c r="P15" s="301">
        <f>SUM(D15:O15)</f>
        <v>676700</v>
      </c>
      <c r="Q15" s="7"/>
    </row>
    <row r="16" spans="1:17" x14ac:dyDescent="0.2">
      <c r="A16" s="6"/>
      <c r="C16" s="309" t="s">
        <v>464</v>
      </c>
      <c r="D16" s="61">
        <f>(Projections!$D$7)</f>
        <v>3</v>
      </c>
      <c r="E16" s="61">
        <f>(Projections!$D$7)</f>
        <v>3</v>
      </c>
      <c r="F16" s="61">
        <f>(Projections!$D$7)</f>
        <v>3</v>
      </c>
      <c r="G16" s="61">
        <f>(Projections!$D$7)</f>
        <v>3</v>
      </c>
      <c r="H16" s="61">
        <f>(Projections!$D$7)</f>
        <v>3</v>
      </c>
      <c r="I16" s="61">
        <f>(Projections!$D$7)</f>
        <v>3</v>
      </c>
      <c r="J16" s="61">
        <f>(Projections!$D$7)</f>
        <v>3</v>
      </c>
      <c r="K16" s="61">
        <f>(Projections!$D$7)</f>
        <v>3</v>
      </c>
      <c r="L16" s="61">
        <f>(Projections!$D$7)</f>
        <v>3</v>
      </c>
      <c r="M16" s="61">
        <f>(Projections!$D$7)</f>
        <v>3</v>
      </c>
      <c r="N16" s="61">
        <f>(Projections!$D$7)</f>
        <v>3</v>
      </c>
      <c r="O16" s="61">
        <f>(Projections!$D$7)</f>
        <v>3</v>
      </c>
      <c r="P16" s="291"/>
      <c r="Q16" s="7"/>
    </row>
    <row r="17" spans="1:17" x14ac:dyDescent="0.2">
      <c r="A17" s="6"/>
      <c r="C17" s="297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96"/>
      <c r="Q17" s="7"/>
    </row>
    <row r="18" spans="1:17" x14ac:dyDescent="0.2">
      <c r="A18" s="6"/>
      <c r="C18" s="1" t="s">
        <v>465</v>
      </c>
      <c r="P18" s="296"/>
      <c r="Q18" s="7"/>
    </row>
    <row r="19" spans="1:17" x14ac:dyDescent="0.2">
      <c r="A19" s="6"/>
      <c r="C19" s="298" t="s">
        <v>412</v>
      </c>
      <c r="D19" s="312">
        <f>SUM(D20:D35)</f>
        <v>0</v>
      </c>
      <c r="E19" s="312">
        <f>SUM(E20:E35)</f>
        <v>0</v>
      </c>
      <c r="F19" s="312">
        <f>SUM(F20:F35)</f>
        <v>0</v>
      </c>
      <c r="G19" s="312">
        <f t="shared" ref="G19:O19" si="1">SUM(G20:G35)</f>
        <v>0</v>
      </c>
      <c r="H19" s="312">
        <f t="shared" si="1"/>
        <v>0</v>
      </c>
      <c r="I19" s="312">
        <f t="shared" si="1"/>
        <v>0</v>
      </c>
      <c r="J19" s="312">
        <f t="shared" si="1"/>
        <v>0</v>
      </c>
      <c r="K19" s="312">
        <f t="shared" si="1"/>
        <v>0</v>
      </c>
      <c r="L19" s="312">
        <f t="shared" si="1"/>
        <v>0</v>
      </c>
      <c r="M19" s="312">
        <f t="shared" si="1"/>
        <v>0</v>
      </c>
      <c r="N19" s="312">
        <f t="shared" si="1"/>
        <v>0</v>
      </c>
      <c r="O19" s="312">
        <f t="shared" si="1"/>
        <v>0</v>
      </c>
      <c r="P19" s="315">
        <f t="shared" ref="P19:P63" si="2">SUM(D19:O19)</f>
        <v>0</v>
      </c>
      <c r="Q19" s="7"/>
    </row>
    <row r="20" spans="1:17" x14ac:dyDescent="0.2">
      <c r="A20" s="6"/>
      <c r="C20" s="304" t="s">
        <v>415</v>
      </c>
      <c r="D20" s="301">
        <v>0</v>
      </c>
      <c r="E20" s="301">
        <f>(Projections!$D$30*(Projections!F30/100))*-1</f>
        <v>0</v>
      </c>
      <c r="F20" s="301">
        <f>(Projections!$D$30*(Projections!G30/100))*-1</f>
        <v>0</v>
      </c>
      <c r="G20" s="301">
        <f>(Projections!$D$30*(Projections!H30/100))*-1</f>
        <v>0</v>
      </c>
      <c r="H20" s="301">
        <f>(Projections!$D$30*(Projections!I30/100))*-1</f>
        <v>0</v>
      </c>
      <c r="I20" s="301">
        <f>(Projections!$D$30*(Projections!J30/100))*-1</f>
        <v>0</v>
      </c>
      <c r="J20" s="301">
        <f>(Projections!$D$30*(Projections!K30/100))*-1</f>
        <v>0</v>
      </c>
      <c r="K20" s="301">
        <f>(Projections!$D$30*(Projections!L30/100))*-1</f>
        <v>0</v>
      </c>
      <c r="L20" s="301">
        <f>(Projections!$D$30*(Projections!M30/100))*-1</f>
        <v>0</v>
      </c>
      <c r="M20" s="301">
        <f>(Projections!$D$30*(Projections!N30/100))*-1</f>
        <v>0</v>
      </c>
      <c r="N20" s="301">
        <f>(Projections!$D$30*(Projections!O30/100))*-1</f>
        <v>0</v>
      </c>
      <c r="O20" s="301">
        <f>(Projections!$D$30*(Projections!P30/100))*-1</f>
        <v>0</v>
      </c>
      <c r="P20" s="290">
        <f t="shared" si="2"/>
        <v>0</v>
      </c>
      <c r="Q20" s="7"/>
    </row>
    <row r="21" spans="1:17" x14ac:dyDescent="0.2">
      <c r="A21" s="6"/>
      <c r="C21" s="305" t="s">
        <v>416</v>
      </c>
      <c r="D21" s="290">
        <v>0</v>
      </c>
      <c r="E21" s="290">
        <f>(Projections!$D$31*(Projections!F31/100))*-1</f>
        <v>0</v>
      </c>
      <c r="F21" s="290">
        <f>(Projections!$D$31*(Projections!G31/100))*-1</f>
        <v>0</v>
      </c>
      <c r="G21" s="290">
        <f>(Projections!$D$31*(Projections!H31/100))*-1</f>
        <v>0</v>
      </c>
      <c r="H21" s="290">
        <f>(Projections!$D$31*(Projections!I31/100))*-1</f>
        <v>0</v>
      </c>
      <c r="I21" s="290">
        <f>(Projections!$D$31*(Projections!J31/100))*-1</f>
        <v>0</v>
      </c>
      <c r="J21" s="290">
        <f>(Projections!$D$31*(Projections!K31/100))*-1</f>
        <v>0</v>
      </c>
      <c r="K21" s="290">
        <f>(Projections!$D$31*(Projections!L31/100))*-1</f>
        <v>0</v>
      </c>
      <c r="L21" s="290">
        <f>(Projections!$D$31*(Projections!M31/100))*-1</f>
        <v>0</v>
      </c>
      <c r="M21" s="290">
        <f>(Projections!$D$31*(Projections!N31/100))*-1</f>
        <v>0</v>
      </c>
      <c r="N21" s="290">
        <f>(Projections!$D$31*(Projections!O31/100))*-1</f>
        <v>0</v>
      </c>
      <c r="O21" s="290">
        <f>(Projections!$D$31*(Projections!P31/100))*-1</f>
        <v>0</v>
      </c>
      <c r="P21" s="290">
        <f t="shared" si="2"/>
        <v>0</v>
      </c>
      <c r="Q21" s="7"/>
    </row>
    <row r="22" spans="1:17" x14ac:dyDescent="0.2">
      <c r="A22" s="6"/>
      <c r="C22" s="305" t="s">
        <v>418</v>
      </c>
      <c r="D22" s="290">
        <v>0</v>
      </c>
      <c r="E22" s="290">
        <f>(Projections!$D$32*(Projections!F32/100))*-1</f>
        <v>0</v>
      </c>
      <c r="F22" s="290">
        <f>(Projections!$D$32*(Projections!G32/100))*-1</f>
        <v>0</v>
      </c>
      <c r="G22" s="290">
        <f>(Projections!$D$32*(Projections!H32/100))*-1</f>
        <v>0</v>
      </c>
      <c r="H22" s="290">
        <f>(Projections!$D$32*(Projections!I32/100))*-1</f>
        <v>0</v>
      </c>
      <c r="I22" s="290">
        <f>(Projections!$D$32*(Projections!J32/100))*-1</f>
        <v>0</v>
      </c>
      <c r="J22" s="290">
        <f>(Projections!$D$32*(Projections!K32/100))*-1</f>
        <v>0</v>
      </c>
      <c r="K22" s="290">
        <f>(Projections!$D$32*(Projections!L32/100))*-1</f>
        <v>0</v>
      </c>
      <c r="L22" s="290">
        <f>(Projections!$D$32*(Projections!M32/100))*-1</f>
        <v>0</v>
      </c>
      <c r="M22" s="290">
        <f>(Projections!$D$32*(Projections!N32/100))*-1</f>
        <v>0</v>
      </c>
      <c r="N22" s="290">
        <f>(Projections!$D$32*(Projections!O32/100))*-1</f>
        <v>0</v>
      </c>
      <c r="O22" s="290">
        <f>(Projections!$D$32*(Projections!P32/100))*-1</f>
        <v>0</v>
      </c>
      <c r="P22" s="290">
        <f t="shared" si="2"/>
        <v>0</v>
      </c>
      <c r="Q22" s="7"/>
    </row>
    <row r="23" spans="1:17" x14ac:dyDescent="0.2">
      <c r="A23" s="6"/>
      <c r="C23" s="305" t="s">
        <v>417</v>
      </c>
      <c r="D23" s="290">
        <v>0</v>
      </c>
      <c r="E23" s="290">
        <f>(Projections!$D$33*(Projections!F33/100))*-1</f>
        <v>0</v>
      </c>
      <c r="F23" s="290">
        <f>(Projections!$D$33*(Projections!G33/100))*-1</f>
        <v>0</v>
      </c>
      <c r="G23" s="290">
        <f>(Projections!$D$33*(Projections!H33/100))*-1</f>
        <v>0</v>
      </c>
      <c r="H23" s="290">
        <f>(Projections!$D$33*(Projections!I33/100))*-1</f>
        <v>0</v>
      </c>
      <c r="I23" s="290">
        <f>(Projections!$D$33*(Projections!J33/100))*-1</f>
        <v>0</v>
      </c>
      <c r="J23" s="290">
        <f>(Projections!$D$33*(Projections!K33/100))*-1</f>
        <v>0</v>
      </c>
      <c r="K23" s="290">
        <f>(Projections!$D$33*(Projections!L33/100))*-1</f>
        <v>0</v>
      </c>
      <c r="L23" s="290">
        <f>(Projections!$D$33*(Projections!M33/100))*-1</f>
        <v>0</v>
      </c>
      <c r="M23" s="290">
        <f>(Projections!$D$33*(Projections!N33/100))*-1</f>
        <v>0</v>
      </c>
      <c r="N23" s="290">
        <f>(Projections!$D$33*(Projections!O33/100))*-1</f>
        <v>0</v>
      </c>
      <c r="O23" s="290">
        <f>(Projections!$D$33*(Projections!P33/100))*-1</f>
        <v>0</v>
      </c>
      <c r="P23" s="290">
        <f t="shared" si="2"/>
        <v>0</v>
      </c>
      <c r="Q23" s="7"/>
    </row>
    <row r="24" spans="1:17" x14ac:dyDescent="0.2">
      <c r="A24" s="6"/>
      <c r="C24" s="305" t="s">
        <v>419</v>
      </c>
      <c r="D24" s="290">
        <v>0</v>
      </c>
      <c r="E24" s="290">
        <f>(Projections!$D$34*(Projections!F34/100))*-1</f>
        <v>0</v>
      </c>
      <c r="F24" s="290">
        <f>(Projections!$D$34*(Projections!G34/100))*-1</f>
        <v>0</v>
      </c>
      <c r="G24" s="290">
        <f>(Projections!$D$34*(Projections!H34/100))*-1</f>
        <v>0</v>
      </c>
      <c r="H24" s="290">
        <f>(Projections!$D$34*(Projections!I34/100))*-1</f>
        <v>0</v>
      </c>
      <c r="I24" s="290">
        <f>(Projections!$D$34*(Projections!J34/100))*-1</f>
        <v>0</v>
      </c>
      <c r="J24" s="290">
        <f>(Projections!$D$34*(Projections!K34/100))*-1</f>
        <v>0</v>
      </c>
      <c r="K24" s="290">
        <f>(Projections!$D$34*(Projections!L34/100))*-1</f>
        <v>0</v>
      </c>
      <c r="L24" s="290">
        <f>(Projections!$D$34*(Projections!M34/100))*-1</f>
        <v>0</v>
      </c>
      <c r="M24" s="290">
        <f>(Projections!$D$34*(Projections!N34/100))*-1</f>
        <v>0</v>
      </c>
      <c r="N24" s="290">
        <f>(Projections!$D$34*(Projections!O34/100))*-1</f>
        <v>0</v>
      </c>
      <c r="O24" s="290">
        <f>(Projections!$D$34*(Projections!P34/100))*-1</f>
        <v>0</v>
      </c>
      <c r="P24" s="290">
        <f t="shared" si="2"/>
        <v>0</v>
      </c>
      <c r="Q24" s="7"/>
    </row>
    <row r="25" spans="1:17" x14ac:dyDescent="0.2">
      <c r="A25" s="6"/>
      <c r="C25" s="305" t="s">
        <v>420</v>
      </c>
      <c r="D25" s="290">
        <v>0</v>
      </c>
      <c r="E25" s="290">
        <f>(Projections!$D$35*(Projections!F35/100))*-1</f>
        <v>0</v>
      </c>
      <c r="F25" s="290">
        <f>(Projections!$D$35*(Projections!G35/100))*-1</f>
        <v>0</v>
      </c>
      <c r="G25" s="290">
        <f>(Projections!$D$35*(Projections!H35/100))*-1</f>
        <v>0</v>
      </c>
      <c r="H25" s="290">
        <f>(Projections!$D$35*(Projections!I35/100))*-1</f>
        <v>0</v>
      </c>
      <c r="I25" s="290">
        <f>(Projections!$D$35*(Projections!J35/100))*-1</f>
        <v>0</v>
      </c>
      <c r="J25" s="290">
        <f>(Projections!$D$35*(Projections!K35/100))*-1</f>
        <v>0</v>
      </c>
      <c r="K25" s="290">
        <f>(Projections!$D$35*(Projections!L35/100))*-1</f>
        <v>0</v>
      </c>
      <c r="L25" s="290">
        <f>(Projections!$D$35*(Projections!M35/100))*-1</f>
        <v>0</v>
      </c>
      <c r="M25" s="290">
        <f>(Projections!$D$35*(Projections!N35/100))*-1</f>
        <v>0</v>
      </c>
      <c r="N25" s="290">
        <f>(Projections!$D$35*(Projections!O35/100))*-1</f>
        <v>0</v>
      </c>
      <c r="O25" s="290">
        <f>(Projections!$D$35*(Projections!P35/100))*-1</f>
        <v>0</v>
      </c>
      <c r="P25" s="290">
        <f t="shared" si="2"/>
        <v>0</v>
      </c>
      <c r="Q25" s="7"/>
    </row>
    <row r="26" spans="1:17" x14ac:dyDescent="0.2">
      <c r="A26" s="6"/>
      <c r="C26" s="305" t="s">
        <v>421</v>
      </c>
      <c r="D26" s="290">
        <f>(Projections!$D$36*(Projections!E36/100))*-1</f>
        <v>0</v>
      </c>
      <c r="E26" s="290">
        <f>(Projections!$D$36*(Projections!F36/100))*-1</f>
        <v>0</v>
      </c>
      <c r="F26" s="290">
        <f>(Projections!$D$36*(Projections!G36/100))*-1</f>
        <v>0</v>
      </c>
      <c r="G26" s="290">
        <f>(Projections!$D$36*(Projections!H36/100))*-1</f>
        <v>0</v>
      </c>
      <c r="H26" s="290">
        <f>(Projections!$D$36*(Projections!I36/100))*-1</f>
        <v>0</v>
      </c>
      <c r="I26" s="290">
        <f>(Projections!$D$36*(Projections!J36/100))*-1</f>
        <v>0</v>
      </c>
      <c r="J26" s="290">
        <f>(Projections!$D$36*(Projections!K36/100))*-1</f>
        <v>0</v>
      </c>
      <c r="K26" s="290">
        <f>(Projections!$D$36*(Projections!L36/100))*-1</f>
        <v>0</v>
      </c>
      <c r="L26" s="290">
        <f>(Projections!$D$36*(Projections!M36/100))*-1</f>
        <v>0</v>
      </c>
      <c r="M26" s="290">
        <f>(Projections!$D$36*(Projections!N36/100))*-1</f>
        <v>0</v>
      </c>
      <c r="N26" s="290">
        <f>(Projections!$D$36*(Projections!O36/100))*-1</f>
        <v>0</v>
      </c>
      <c r="O26" s="290">
        <f>(Projections!$D$36*(Projections!P36/100))*-1</f>
        <v>0</v>
      </c>
      <c r="P26" s="290">
        <f t="shared" si="2"/>
        <v>0</v>
      </c>
      <c r="Q26" s="7"/>
    </row>
    <row r="27" spans="1:17" x14ac:dyDescent="0.2">
      <c r="A27" s="6"/>
      <c r="C27" s="305" t="s">
        <v>422</v>
      </c>
      <c r="D27" s="290">
        <f>(Projections!$D$37*(Projections!E37/100))*-1</f>
        <v>0</v>
      </c>
      <c r="E27" s="290">
        <f>(Projections!$D$37*(Projections!F37/100))*-1</f>
        <v>0</v>
      </c>
      <c r="F27" s="290">
        <f>(Projections!$D$37*(Projections!G37/100))*-1</f>
        <v>0</v>
      </c>
      <c r="G27" s="290">
        <f>(Projections!$D$37*(Projections!H37/100))*-1</f>
        <v>0</v>
      </c>
      <c r="H27" s="290">
        <f>(Projections!$D$37*(Projections!I37/100))*-1</f>
        <v>0</v>
      </c>
      <c r="I27" s="290">
        <f>(Projections!$D$37*(Projections!J37/100))*-1</f>
        <v>0</v>
      </c>
      <c r="J27" s="290">
        <f>(Projections!$D$37*(Projections!K37/100))*-1</f>
        <v>0</v>
      </c>
      <c r="K27" s="290">
        <f>(Projections!$D$37*(Projections!L37/100))*-1</f>
        <v>0</v>
      </c>
      <c r="L27" s="290">
        <f>(Projections!$D$37*(Projections!M37/100))*-1</f>
        <v>0</v>
      </c>
      <c r="M27" s="290">
        <f>(Projections!$D$37*(Projections!N37/100))*-1</f>
        <v>0</v>
      </c>
      <c r="N27" s="290">
        <f>(Projections!$D$37*(Projections!O37/100))*-1</f>
        <v>0</v>
      </c>
      <c r="O27" s="290">
        <f>(Projections!$D$37*(Projections!P37/100))*-1</f>
        <v>0</v>
      </c>
      <c r="P27" s="290">
        <f t="shared" si="2"/>
        <v>0</v>
      </c>
      <c r="Q27" s="7"/>
    </row>
    <row r="28" spans="1:17" x14ac:dyDescent="0.2">
      <c r="A28" s="6"/>
      <c r="C28" s="305" t="s">
        <v>423</v>
      </c>
      <c r="D28" s="290">
        <f>(Projections!$D$38*(Projections!E38/100))*-1</f>
        <v>0</v>
      </c>
      <c r="E28" s="290">
        <f>(Projections!$D$38*(Projections!F38/100))*-1</f>
        <v>0</v>
      </c>
      <c r="F28" s="290">
        <f>(Projections!$D$38*(Projections!G38/100))*-1</f>
        <v>0</v>
      </c>
      <c r="G28" s="290">
        <f>(Projections!$D$38*(Projections!H38/100))*-1</f>
        <v>0</v>
      </c>
      <c r="H28" s="290">
        <f>(Projections!$D$38*(Projections!I38/100))*-1</f>
        <v>0</v>
      </c>
      <c r="I28" s="290">
        <f>(Projections!$D$38*(Projections!J38/100))*-1</f>
        <v>0</v>
      </c>
      <c r="J28" s="290">
        <f>(Projections!$D$38*(Projections!K38/100))*-1</f>
        <v>0</v>
      </c>
      <c r="K28" s="290">
        <f>(Projections!$D$38*(Projections!L38/100))*-1</f>
        <v>0</v>
      </c>
      <c r="L28" s="290">
        <f>(Projections!$D$38*(Projections!M38/100))*-1</f>
        <v>0</v>
      </c>
      <c r="M28" s="290">
        <f>(Projections!$D$38*(Projections!N38/100))*-1</f>
        <v>0</v>
      </c>
      <c r="N28" s="290">
        <f>(Projections!$D$38*(Projections!O38/100))*-1</f>
        <v>0</v>
      </c>
      <c r="O28" s="290">
        <f>(Projections!$D$38*(Projections!P38/100))*-1</f>
        <v>0</v>
      </c>
      <c r="P28" s="290">
        <f t="shared" si="2"/>
        <v>0</v>
      </c>
      <c r="Q28" s="7"/>
    </row>
    <row r="29" spans="1:17" x14ac:dyDescent="0.2">
      <c r="A29" s="6"/>
      <c r="C29" s="307" t="s">
        <v>424</v>
      </c>
      <c r="D29" s="290">
        <f>(Projections!$D$39*(Projections!E39/100))*-1</f>
        <v>0</v>
      </c>
      <c r="E29" s="290">
        <f>(Projections!$D$39*(Projections!F39/100))*-1</f>
        <v>0</v>
      </c>
      <c r="F29" s="290">
        <f>(Projections!$D$39*(Projections!G39/100))*-1</f>
        <v>0</v>
      </c>
      <c r="G29" s="290">
        <f>(Projections!$D$39*(Projections!H39/100))*-1</f>
        <v>0</v>
      </c>
      <c r="H29" s="290">
        <f>(Projections!$D$39*(Projections!I39/100))*-1</f>
        <v>0</v>
      </c>
      <c r="I29" s="290">
        <f>(Projections!$D$39*(Projections!J39/100))*-1</f>
        <v>0</v>
      </c>
      <c r="J29" s="290">
        <f>(Projections!$D$39*(Projections!K39/100))*-1</f>
        <v>0</v>
      </c>
      <c r="K29" s="290">
        <f>(Projections!$D$39*(Projections!L39/100))*-1</f>
        <v>0</v>
      </c>
      <c r="L29" s="290">
        <f>(Projections!$D$39*(Projections!M39/100))*-1</f>
        <v>0</v>
      </c>
      <c r="M29" s="290">
        <f>(Projections!$D$39*(Projections!N39/100))*-1</f>
        <v>0</v>
      </c>
      <c r="N29" s="290">
        <f>(Projections!$D$39*(Projections!O39/100))*-1</f>
        <v>0</v>
      </c>
      <c r="O29" s="290">
        <f>(Projections!$D$39*(Projections!P39/100))*-1</f>
        <v>0</v>
      </c>
      <c r="P29" s="290">
        <f t="shared" si="2"/>
        <v>0</v>
      </c>
      <c r="Q29" s="7"/>
    </row>
    <row r="30" spans="1:17" x14ac:dyDescent="0.2">
      <c r="A30" s="6"/>
      <c r="C30" s="307" t="s">
        <v>425</v>
      </c>
      <c r="D30" s="290">
        <f>(Projections!$D$40*(Projections!E40/100))*-1</f>
        <v>0</v>
      </c>
      <c r="E30" s="290">
        <f>(Projections!$D$40*(Projections!F40/100))*-1</f>
        <v>0</v>
      </c>
      <c r="F30" s="290">
        <f>(Projections!$D$40*(Projections!G40/100))*-1</f>
        <v>0</v>
      </c>
      <c r="G30" s="290">
        <f>(Projections!$D$40*(Projections!H40/100))*-1</f>
        <v>0</v>
      </c>
      <c r="H30" s="290">
        <f>(Projections!$D$40*(Projections!I40/100))*-1</f>
        <v>0</v>
      </c>
      <c r="I30" s="290">
        <f>(Projections!$D$40*(Projections!J40/100))*-1</f>
        <v>0</v>
      </c>
      <c r="J30" s="290">
        <f>(Projections!$D$40*(Projections!K40/100))*-1</f>
        <v>0</v>
      </c>
      <c r="K30" s="290">
        <f>(Projections!$D$40*(Projections!L40/100))*-1</f>
        <v>0</v>
      </c>
      <c r="L30" s="290">
        <f>(Projections!$D$40*(Projections!M40/100))*-1</f>
        <v>0</v>
      </c>
      <c r="M30" s="290">
        <f>(Projections!$D$40*(Projections!N40/100))*-1</f>
        <v>0</v>
      </c>
      <c r="N30" s="290">
        <f>(Projections!$D$40*(Projections!O40/100))*-1</f>
        <v>0</v>
      </c>
      <c r="O30" s="290">
        <f>(Projections!$D$40*(Projections!P40/100))*-1</f>
        <v>0</v>
      </c>
      <c r="P30" s="290">
        <f t="shared" si="2"/>
        <v>0</v>
      </c>
      <c r="Q30" s="7"/>
    </row>
    <row r="31" spans="1:17" x14ac:dyDescent="0.2">
      <c r="A31" s="6"/>
      <c r="C31" s="305" t="s">
        <v>426</v>
      </c>
      <c r="D31" s="290">
        <v>0</v>
      </c>
      <c r="E31" s="290">
        <f>(Projections!$D$41*(Projections!F41/100))*-1</f>
        <v>0</v>
      </c>
      <c r="F31" s="290">
        <f>(Projections!$D$41*(Projections!G41/100))*-1</f>
        <v>0</v>
      </c>
      <c r="G31" s="290">
        <f>(Projections!$D$41*(Projections!H41/100))*-1</f>
        <v>0</v>
      </c>
      <c r="H31" s="290">
        <f>(Projections!$D$41*(Projections!I41/100))*-1</f>
        <v>0</v>
      </c>
      <c r="I31" s="290">
        <f>(Projections!$D$41*(Projections!J41/100))*-1</f>
        <v>0</v>
      </c>
      <c r="J31" s="290">
        <f>(Projections!$D$41*(Projections!K41/100))*-1</f>
        <v>0</v>
      </c>
      <c r="K31" s="290">
        <f>(Projections!$D$41*(Projections!L41/100))*-1</f>
        <v>0</v>
      </c>
      <c r="L31" s="290">
        <f>(Projections!$D$41*(Projections!M41/100))*-1</f>
        <v>0</v>
      </c>
      <c r="M31" s="290">
        <f>(Projections!$D$41*(Projections!N41/100))*-1</f>
        <v>0</v>
      </c>
      <c r="N31" s="290">
        <f>(Projections!$D$41*(Projections!O41/100))*-1</f>
        <v>0</v>
      </c>
      <c r="O31" s="290">
        <f>(Projections!$D$41*(Projections!P41/100))*-1</f>
        <v>0</v>
      </c>
      <c r="P31" s="290">
        <f t="shared" si="2"/>
        <v>0</v>
      </c>
      <c r="Q31" s="7"/>
    </row>
    <row r="32" spans="1:17" x14ac:dyDescent="0.2">
      <c r="A32" s="6"/>
      <c r="C32" s="306" t="s">
        <v>466</v>
      </c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>
        <f t="shared" si="2"/>
        <v>0</v>
      </c>
      <c r="Q32" s="7"/>
    </row>
    <row r="33" spans="1:17" x14ac:dyDescent="0.2">
      <c r="A33" s="6"/>
      <c r="C33" s="306" t="s">
        <v>467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>
        <f t="shared" si="2"/>
        <v>0</v>
      </c>
      <c r="Q33" s="7"/>
    </row>
    <row r="34" spans="1:17" x14ac:dyDescent="0.2">
      <c r="A34" s="6"/>
      <c r="C34" s="306" t="s">
        <v>468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>
        <f t="shared" si="2"/>
        <v>0</v>
      </c>
      <c r="Q34" s="7"/>
    </row>
    <row r="35" spans="1:17" x14ac:dyDescent="0.2">
      <c r="A35" s="6"/>
      <c r="C35" s="303" t="s">
        <v>428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>
        <f t="shared" si="2"/>
        <v>0</v>
      </c>
      <c r="Q35" s="7"/>
    </row>
    <row r="36" spans="1:17" x14ac:dyDescent="0.2">
      <c r="A36" s="6"/>
      <c r="C36" s="299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7"/>
    </row>
    <row r="37" spans="1:17" x14ac:dyDescent="0.2">
      <c r="A37" s="6"/>
      <c r="C37" s="298" t="s">
        <v>469</v>
      </c>
      <c r="D37" s="312">
        <f>SUM(D38:D49)</f>
        <v>-60352</v>
      </c>
      <c r="E37" s="312">
        <f>SUM(E38:E49)</f>
        <v>-60352</v>
      </c>
      <c r="F37" s="312">
        <f>SUM(F38:F49)</f>
        <v>-60352</v>
      </c>
      <c r="G37" s="312">
        <f t="shared" ref="G37:O37" si="3">SUM(G38:G49)</f>
        <v>-60352</v>
      </c>
      <c r="H37" s="312">
        <f t="shared" si="3"/>
        <v>-60352</v>
      </c>
      <c r="I37" s="312">
        <f t="shared" si="3"/>
        <v>-95352</v>
      </c>
      <c r="J37" s="312">
        <f t="shared" si="3"/>
        <v>-60352</v>
      </c>
      <c r="K37" s="312">
        <f t="shared" si="3"/>
        <v>-60352</v>
      </c>
      <c r="L37" s="312">
        <f t="shared" si="3"/>
        <v>-60352</v>
      </c>
      <c r="M37" s="312">
        <f t="shared" si="3"/>
        <v>-60352</v>
      </c>
      <c r="N37" s="312">
        <f t="shared" si="3"/>
        <v>-60352</v>
      </c>
      <c r="O37" s="312">
        <f t="shared" si="3"/>
        <v>-95352</v>
      </c>
      <c r="P37" s="315">
        <f t="shared" si="2"/>
        <v>-794224</v>
      </c>
      <c r="Q37" s="7"/>
    </row>
    <row r="38" spans="1:17" x14ac:dyDescent="0.2">
      <c r="A38" s="6"/>
      <c r="C38" s="304" t="s">
        <v>430</v>
      </c>
      <c r="D38" s="301">
        <f>(Projections!$D49*(Projections!E49/100))*-1</f>
        <v>0</v>
      </c>
      <c r="E38" s="301">
        <f>(Projections!$D49*(Projections!F49/100))*-1</f>
        <v>0</v>
      </c>
      <c r="F38" s="301">
        <f>(Projections!$D49*(Projections!G49/100))*-1</f>
        <v>0</v>
      </c>
      <c r="G38" s="301">
        <f>(Projections!$D49*(Projections!H49/100))*-1</f>
        <v>0</v>
      </c>
      <c r="H38" s="301">
        <f>(Projections!$D49*(Projections!I49/100))*-1</f>
        <v>0</v>
      </c>
      <c r="I38" s="301">
        <f>(Projections!$D49*(Projections!J49/100))*-1</f>
        <v>-20000</v>
      </c>
      <c r="J38" s="301">
        <f>(Projections!$D49*(Projections!K49/100))*-1</f>
        <v>0</v>
      </c>
      <c r="K38" s="301">
        <f>(Projections!$D49*(Projections!L49/100))*-1</f>
        <v>0</v>
      </c>
      <c r="L38" s="301">
        <f>(Projections!$D49*(Projections!M49/100))*-1</f>
        <v>0</v>
      </c>
      <c r="M38" s="301">
        <f>(Projections!$D49*(Projections!N49/100))*-1</f>
        <v>0</v>
      </c>
      <c r="N38" s="301">
        <f>(Projections!$D49*(Projections!O49/100))*-1</f>
        <v>0</v>
      </c>
      <c r="O38" s="301">
        <f>(Projections!$D49*(Projections!P49/100))*-1</f>
        <v>-20000</v>
      </c>
      <c r="P38" s="290">
        <f t="shared" si="2"/>
        <v>-40000</v>
      </c>
      <c r="Q38" s="7"/>
    </row>
    <row r="39" spans="1:17" x14ac:dyDescent="0.2">
      <c r="A39" s="6"/>
      <c r="C39" s="305" t="s">
        <v>431</v>
      </c>
      <c r="D39" s="290">
        <f>(Projections!$D50*(Projections!E50/100))*-1</f>
        <v>0</v>
      </c>
      <c r="E39" s="290">
        <f>(Projections!$D50*(Projections!F50/100))*-1</f>
        <v>0</v>
      </c>
      <c r="F39" s="290">
        <f>(Projections!$D50*(Projections!G50/100))*-1</f>
        <v>0</v>
      </c>
      <c r="G39" s="290">
        <f>(Projections!$D50*(Projections!H50/100))*-1</f>
        <v>0</v>
      </c>
      <c r="H39" s="290">
        <f>(Projections!$D50*(Projections!I50/100))*-1</f>
        <v>0</v>
      </c>
      <c r="I39" s="290">
        <f>(Projections!$D50*(Projections!J50/100))*-1</f>
        <v>-15000</v>
      </c>
      <c r="J39" s="290">
        <f>(Projections!$D50*(Projections!K50/100))*-1</f>
        <v>0</v>
      </c>
      <c r="K39" s="290">
        <f>(Projections!$D50*(Projections!L50/100))*-1</f>
        <v>0</v>
      </c>
      <c r="L39" s="290">
        <f>(Projections!$D50*(Projections!M50/100))*-1</f>
        <v>0</v>
      </c>
      <c r="M39" s="290">
        <f>(Projections!$D50*(Projections!N50/100))*-1</f>
        <v>0</v>
      </c>
      <c r="N39" s="290">
        <f>(Projections!$D50*(Projections!O50/100))*-1</f>
        <v>0</v>
      </c>
      <c r="O39" s="290">
        <f>(Projections!$D50*(Projections!P50/100))*-1</f>
        <v>-15000</v>
      </c>
      <c r="P39" s="290">
        <f t="shared" si="2"/>
        <v>-30000</v>
      </c>
      <c r="Q39" s="7"/>
    </row>
    <row r="40" spans="1:17" x14ac:dyDescent="0.2">
      <c r="A40" s="6"/>
      <c r="C40" s="306" t="s">
        <v>185</v>
      </c>
      <c r="D40" s="290">
        <f>(Projections!$D51*(Projections!E51/100))*-1</f>
        <v>-7680</v>
      </c>
      <c r="E40" s="290">
        <f>(Projections!$D51*(Projections!F51/100))*-1</f>
        <v>-7680</v>
      </c>
      <c r="F40" s="290">
        <f>(Projections!$D51*(Projections!G51/100))*-1</f>
        <v>-7680</v>
      </c>
      <c r="G40" s="290">
        <f>(Projections!$D51*(Projections!H51/100))*-1</f>
        <v>-7680</v>
      </c>
      <c r="H40" s="290">
        <f>(Projections!$D51*(Projections!I51/100))*-1</f>
        <v>-7680</v>
      </c>
      <c r="I40" s="290">
        <f>(Projections!$D51*(Projections!J51/100))*-1</f>
        <v>-7680</v>
      </c>
      <c r="J40" s="290">
        <f>(Projections!$D51*(Projections!K51/100))*-1</f>
        <v>-7680</v>
      </c>
      <c r="K40" s="290">
        <f>(Projections!$D51*(Projections!L51/100))*-1</f>
        <v>-7680</v>
      </c>
      <c r="L40" s="290">
        <f>(Projections!$D51*(Projections!M51/100))*-1</f>
        <v>-7680</v>
      </c>
      <c r="M40" s="290">
        <f>(Projections!$D51*(Projections!N51/100))*-1</f>
        <v>-7680</v>
      </c>
      <c r="N40" s="290">
        <f>(Projections!$D51*(Projections!O51/100))*-1</f>
        <v>-7680</v>
      </c>
      <c r="O40" s="290">
        <f>(Projections!$D51*(Projections!P51/100))*-1</f>
        <v>-7680</v>
      </c>
      <c r="P40" s="290">
        <f t="shared" si="2"/>
        <v>-92160</v>
      </c>
      <c r="Q40" s="7"/>
    </row>
    <row r="41" spans="1:17" x14ac:dyDescent="0.2">
      <c r="A41" s="6"/>
      <c r="C41" s="306" t="s">
        <v>186</v>
      </c>
      <c r="D41" s="290">
        <f>(Projections!$D$52*(Projections!E52/100))*-1</f>
        <v>-640</v>
      </c>
      <c r="E41" s="290">
        <f>(Projections!$D$52*(Projections!F52/100))*-1</f>
        <v>-640</v>
      </c>
      <c r="F41" s="290">
        <f>(Projections!$D$52*(Projections!G52/100))*-1</f>
        <v>-640</v>
      </c>
      <c r="G41" s="290">
        <f>(Projections!$D$52*(Projections!H52/100))*-1</f>
        <v>-640</v>
      </c>
      <c r="H41" s="290">
        <f>(Projections!$D$52*(Projections!I52/100))*-1</f>
        <v>-640</v>
      </c>
      <c r="I41" s="290">
        <f>(Projections!$D$52*(Projections!J52/100))*-1</f>
        <v>-640</v>
      </c>
      <c r="J41" s="290">
        <f>(Projections!$D$52*(Projections!K52/100))*-1</f>
        <v>-640</v>
      </c>
      <c r="K41" s="290">
        <f>(Projections!$D$52*(Projections!L52/100))*-1</f>
        <v>-640</v>
      </c>
      <c r="L41" s="290">
        <f>(Projections!$D$52*(Projections!M52/100))*-1</f>
        <v>-640</v>
      </c>
      <c r="M41" s="290">
        <f>(Projections!$D$52*(Projections!N52/100))*-1</f>
        <v>-640</v>
      </c>
      <c r="N41" s="290">
        <f>(Projections!$D$52*(Projections!O52/100))*-1</f>
        <v>-640</v>
      </c>
      <c r="O41" s="290">
        <f>(Projections!$D$52*(Projections!P52/100))*-1</f>
        <v>-640</v>
      </c>
      <c r="P41" s="290">
        <f t="shared" si="2"/>
        <v>-7680</v>
      </c>
      <c r="Q41" s="7"/>
    </row>
    <row r="42" spans="1:17" x14ac:dyDescent="0.2">
      <c r="A42" s="6"/>
      <c r="C42" s="306" t="s">
        <v>187</v>
      </c>
      <c r="D42" s="290">
        <f>(Projections!$D$53*(Projections!E53/100))*-1</f>
        <v>-960</v>
      </c>
      <c r="E42" s="290">
        <f>(Projections!$D$53*(Projections!F53/100))*-1</f>
        <v>-960</v>
      </c>
      <c r="F42" s="290">
        <f>(Projections!$D$53*(Projections!G53/100))*-1</f>
        <v>-960</v>
      </c>
      <c r="G42" s="290">
        <f>(Projections!$D$53*(Projections!H53/100))*-1</f>
        <v>-960</v>
      </c>
      <c r="H42" s="290">
        <f>(Projections!$D$53*(Projections!I53/100))*-1</f>
        <v>-960</v>
      </c>
      <c r="I42" s="290">
        <f>(Projections!$D$53*(Projections!J53/100))*-1</f>
        <v>-960</v>
      </c>
      <c r="J42" s="290">
        <f>(Projections!$D$53*(Projections!K53/100))*-1</f>
        <v>-960</v>
      </c>
      <c r="K42" s="290">
        <f>(Projections!$D$53*(Projections!L53/100))*-1</f>
        <v>-960</v>
      </c>
      <c r="L42" s="290">
        <f>(Projections!$D$53*(Projections!M53/100))*-1</f>
        <v>-960</v>
      </c>
      <c r="M42" s="290">
        <f>(Projections!$D$53*(Projections!N53/100))*-1</f>
        <v>-960</v>
      </c>
      <c r="N42" s="290">
        <f>(Projections!$D$53*(Projections!O53/100))*-1</f>
        <v>-960</v>
      </c>
      <c r="O42" s="290">
        <f>(Projections!$D$53*(Projections!P53/100))*-1</f>
        <v>-960</v>
      </c>
      <c r="P42" s="290">
        <f t="shared" si="2"/>
        <v>-11520</v>
      </c>
      <c r="Q42" s="7"/>
    </row>
    <row r="43" spans="1:17" x14ac:dyDescent="0.2">
      <c r="A43" s="6"/>
      <c r="C43" s="306" t="s">
        <v>191</v>
      </c>
      <c r="D43" s="290">
        <f>(Projections!$D$54*(Projections!E54/100))*-1</f>
        <v>-1152</v>
      </c>
      <c r="E43" s="290">
        <f>(Projections!$D$54*(Projections!F54/100))*-1</f>
        <v>-1152</v>
      </c>
      <c r="F43" s="290">
        <f>(Projections!$D$54*(Projections!G54/100))*-1</f>
        <v>-1152</v>
      </c>
      <c r="G43" s="290">
        <f>(Projections!$D$54*(Projections!H54/100))*-1</f>
        <v>-1152</v>
      </c>
      <c r="H43" s="290">
        <f>(Projections!$D$54*(Projections!I54/100))*-1</f>
        <v>-1152</v>
      </c>
      <c r="I43" s="290">
        <f>(Projections!$D$54*(Projections!J54/100))*-1</f>
        <v>-1152</v>
      </c>
      <c r="J43" s="290">
        <f>(Projections!$D$54*(Projections!K54/100))*-1</f>
        <v>-1152</v>
      </c>
      <c r="K43" s="290">
        <f>(Projections!$D$54*(Projections!L54/100))*-1</f>
        <v>-1152</v>
      </c>
      <c r="L43" s="290">
        <f>(Projections!$D$54*(Projections!M54/100))*-1</f>
        <v>-1152</v>
      </c>
      <c r="M43" s="290">
        <f>(Projections!$D$54*(Projections!N54/100))*-1</f>
        <v>-1152</v>
      </c>
      <c r="N43" s="290">
        <f>(Projections!$D$54*(Projections!O54/100))*-1</f>
        <v>-1152</v>
      </c>
      <c r="O43" s="290">
        <f>(Projections!$D$54*(Projections!P54/100))*-1</f>
        <v>-1152</v>
      </c>
      <c r="P43" s="290">
        <f t="shared" si="2"/>
        <v>-13824</v>
      </c>
      <c r="Q43" s="7"/>
    </row>
    <row r="44" spans="1:17" x14ac:dyDescent="0.2">
      <c r="A44" s="6"/>
      <c r="C44" s="306" t="s">
        <v>193</v>
      </c>
      <c r="D44" s="290">
        <f>(Projections!$D$55*(Projections!E55/100))*-1</f>
        <v>0</v>
      </c>
      <c r="E44" s="290">
        <f>(Projections!$D$55*(Projections!F55/100))*-1</f>
        <v>0</v>
      </c>
      <c r="F44" s="290">
        <f>(Projections!$D$55*(Projections!G55/100))*-1</f>
        <v>0</v>
      </c>
      <c r="G44" s="290">
        <f>(Projections!$D$55*(Projections!H55/100))*-1</f>
        <v>0</v>
      </c>
      <c r="H44" s="290">
        <f>(Projections!$D$55*(Projections!I55/100))*-1</f>
        <v>0</v>
      </c>
      <c r="I44" s="290">
        <f>(Projections!$D$55*(Projections!J55/100))*-1</f>
        <v>0</v>
      </c>
      <c r="J44" s="290">
        <f>(Projections!$D$55*(Projections!K55/100))*-1</f>
        <v>0</v>
      </c>
      <c r="K44" s="290">
        <f>(Projections!$D$55*(Projections!L55/100))*-1</f>
        <v>0</v>
      </c>
      <c r="L44" s="290">
        <f>(Projections!$D$55*(Projections!M55/100))*-1</f>
        <v>0</v>
      </c>
      <c r="M44" s="290">
        <f>(Projections!$D$55*(Projections!N55/100))*-1</f>
        <v>0</v>
      </c>
      <c r="N44" s="290">
        <f>(Projections!$D$55*(Projections!O55/100))*-1</f>
        <v>0</v>
      </c>
      <c r="O44" s="290">
        <f>(Projections!$D$55*(Projections!P55/100))*-1</f>
        <v>0</v>
      </c>
      <c r="P44" s="290">
        <f t="shared" si="2"/>
        <v>0</v>
      </c>
      <c r="Q44" s="7"/>
    </row>
    <row r="45" spans="1:17" x14ac:dyDescent="0.2">
      <c r="A45" s="6"/>
      <c r="C45" s="306" t="s">
        <v>188</v>
      </c>
      <c r="D45" s="290">
        <f>(Projections!$D$56*(Projections!E56/100))*-1</f>
        <v>-28800</v>
      </c>
      <c r="E45" s="290">
        <f>(Projections!$D$56*(Projections!F56/100))*-1</f>
        <v>-28800</v>
      </c>
      <c r="F45" s="290">
        <f>(Projections!$D$56*(Projections!G56/100))*-1</f>
        <v>-28800</v>
      </c>
      <c r="G45" s="290">
        <f>(Projections!$D$56*(Projections!H56/100))*-1</f>
        <v>-28800</v>
      </c>
      <c r="H45" s="290">
        <f>(Projections!$D$56*(Projections!I56/100))*-1</f>
        <v>-28800</v>
      </c>
      <c r="I45" s="290">
        <f>(Projections!$D$56*(Projections!J56/100))*-1</f>
        <v>-28800</v>
      </c>
      <c r="J45" s="290">
        <f>(Projections!$D$56*(Projections!K56/100))*-1</f>
        <v>-28800</v>
      </c>
      <c r="K45" s="290">
        <f>(Projections!$D$56*(Projections!L56/100))*-1</f>
        <v>-28800</v>
      </c>
      <c r="L45" s="290">
        <f>(Projections!$D$56*(Projections!M56/100))*-1</f>
        <v>-28800</v>
      </c>
      <c r="M45" s="290">
        <f>(Projections!$D$56*(Projections!N56/100))*-1</f>
        <v>-28800</v>
      </c>
      <c r="N45" s="290">
        <f>(Projections!$D$56*(Projections!O56/100))*-1</f>
        <v>-28800</v>
      </c>
      <c r="O45" s="290">
        <f>(Projections!$D$56*(Projections!P56/100))*-1</f>
        <v>-28800</v>
      </c>
      <c r="P45" s="290">
        <f t="shared" si="2"/>
        <v>-345600</v>
      </c>
      <c r="Q45" s="7"/>
    </row>
    <row r="46" spans="1:17" x14ac:dyDescent="0.2">
      <c r="A46" s="6"/>
      <c r="C46" s="306" t="s">
        <v>189</v>
      </c>
      <c r="D46" s="290">
        <f>(Projections!$D$57*(Projections!E57/100))*-1</f>
        <v>-2400</v>
      </c>
      <c r="E46" s="290">
        <f>(Projections!$D$57*(Projections!F57/100))*-1</f>
        <v>-2400</v>
      </c>
      <c r="F46" s="290">
        <f>(Projections!$D$57*(Projections!G57/100))*-1</f>
        <v>-2400</v>
      </c>
      <c r="G46" s="290">
        <f>(Projections!$D$57*(Projections!H57/100))*-1</f>
        <v>-2400</v>
      </c>
      <c r="H46" s="290">
        <f>(Projections!$D$57*(Projections!I57/100))*-1</f>
        <v>-2400</v>
      </c>
      <c r="I46" s="290">
        <f>(Projections!$D$57*(Projections!J57/100))*-1</f>
        <v>-2400</v>
      </c>
      <c r="J46" s="290">
        <f>(Projections!$D$57*(Projections!K57/100))*-1</f>
        <v>-2400</v>
      </c>
      <c r="K46" s="290">
        <f>(Projections!$D$57*(Projections!L57/100))*-1</f>
        <v>-2400</v>
      </c>
      <c r="L46" s="290">
        <f>(Projections!$D$57*(Projections!M57/100))*-1</f>
        <v>-2400</v>
      </c>
      <c r="M46" s="290">
        <f>(Projections!$D$57*(Projections!N57/100))*-1</f>
        <v>-2400</v>
      </c>
      <c r="N46" s="290">
        <f>(Projections!$D$57*(Projections!O57/100))*-1</f>
        <v>-2400</v>
      </c>
      <c r="O46" s="290">
        <f>(Projections!$D$57*(Projections!P57/100))*-1</f>
        <v>-2400</v>
      </c>
      <c r="P46" s="290">
        <f t="shared" si="2"/>
        <v>-28800</v>
      </c>
      <c r="Q46" s="7"/>
    </row>
    <row r="47" spans="1:17" x14ac:dyDescent="0.2">
      <c r="A47" s="6"/>
      <c r="C47" s="306" t="s">
        <v>190</v>
      </c>
      <c r="D47" s="290">
        <f>(Projections!$D$58*(Projections!E58/100))*-1</f>
        <v>-11520</v>
      </c>
      <c r="E47" s="290">
        <f>(Projections!$D$58*(Projections!F58/100))*-1</f>
        <v>-11520</v>
      </c>
      <c r="F47" s="290">
        <f>(Projections!$D$58*(Projections!G58/100))*-1</f>
        <v>-11520</v>
      </c>
      <c r="G47" s="290">
        <f>(Projections!$D$58*(Projections!H58/100))*-1</f>
        <v>-11520</v>
      </c>
      <c r="H47" s="290">
        <f>(Projections!$D$58*(Projections!I58/100))*-1</f>
        <v>-11520</v>
      </c>
      <c r="I47" s="290">
        <f>(Projections!$D$58*(Projections!J58/100))*-1</f>
        <v>-11520</v>
      </c>
      <c r="J47" s="290">
        <f>(Projections!$D$58*(Projections!K58/100))*-1</f>
        <v>-11520</v>
      </c>
      <c r="K47" s="290">
        <f>(Projections!$D$58*(Projections!L58/100))*-1</f>
        <v>-11520</v>
      </c>
      <c r="L47" s="290">
        <f>(Projections!$D$58*(Projections!M58/100))*-1</f>
        <v>-11520</v>
      </c>
      <c r="M47" s="290">
        <f>(Projections!$D$58*(Projections!N58/100))*-1</f>
        <v>-11520</v>
      </c>
      <c r="N47" s="290">
        <f>(Projections!$D$58*(Projections!O58/100))*-1</f>
        <v>-11520</v>
      </c>
      <c r="O47" s="290">
        <f>(Projections!$D$58*(Projections!P58/100))*-1</f>
        <v>-11520</v>
      </c>
      <c r="P47" s="290">
        <f t="shared" si="2"/>
        <v>-138240</v>
      </c>
      <c r="Q47" s="7"/>
    </row>
    <row r="48" spans="1:17" x14ac:dyDescent="0.2">
      <c r="A48" s="6"/>
      <c r="C48" s="306" t="s">
        <v>192</v>
      </c>
      <c r="D48" s="290">
        <f>(Projections!$D$59*(Projections!E59/100))*-1</f>
        <v>-7200</v>
      </c>
      <c r="E48" s="290">
        <f>(Projections!$D$59*(Projections!F59/100))*-1</f>
        <v>-7200</v>
      </c>
      <c r="F48" s="290">
        <f>(Projections!$D$59*(Projections!G59/100))*-1</f>
        <v>-7200</v>
      </c>
      <c r="G48" s="290">
        <f>(Projections!$D$59*(Projections!H59/100))*-1</f>
        <v>-7200</v>
      </c>
      <c r="H48" s="290">
        <f>(Projections!$D$59*(Projections!I59/100))*-1</f>
        <v>-7200</v>
      </c>
      <c r="I48" s="290">
        <f>(Projections!$D$59*(Projections!J59/100))*-1</f>
        <v>-7200</v>
      </c>
      <c r="J48" s="290">
        <f>(Projections!$D$59*(Projections!K59/100))*-1</f>
        <v>-7200</v>
      </c>
      <c r="K48" s="290">
        <f>(Projections!$D$59*(Projections!L59/100))*-1</f>
        <v>-7200</v>
      </c>
      <c r="L48" s="290">
        <f>(Projections!$D$59*(Projections!M59/100))*-1</f>
        <v>-7200</v>
      </c>
      <c r="M48" s="290">
        <f>(Projections!$D$59*(Projections!N59/100))*-1</f>
        <v>-7200</v>
      </c>
      <c r="N48" s="290">
        <f>(Projections!$D$59*(Projections!O59/100))*-1</f>
        <v>-7200</v>
      </c>
      <c r="O48" s="290">
        <f>(Projections!$D$59*(Projections!P59/100))*-1</f>
        <v>-7200</v>
      </c>
      <c r="P48" s="290">
        <f t="shared" si="2"/>
        <v>-86400</v>
      </c>
      <c r="Q48" s="7"/>
    </row>
    <row r="49" spans="1:17" x14ac:dyDescent="0.2">
      <c r="A49" s="6"/>
      <c r="C49" s="303" t="s">
        <v>194</v>
      </c>
      <c r="D49" s="291">
        <f>(Projections!$D$60*(Projections!E60/100))*-1</f>
        <v>0</v>
      </c>
      <c r="E49" s="291">
        <f>(Projections!$D$60*(Projections!F60/100))*-1</f>
        <v>0</v>
      </c>
      <c r="F49" s="291">
        <f>(Projections!$D$60*(Projections!G60/100))*-1</f>
        <v>0</v>
      </c>
      <c r="G49" s="291">
        <f>(Projections!$D$60*(Projections!H60/100))*-1</f>
        <v>0</v>
      </c>
      <c r="H49" s="291">
        <f>(Projections!$D$60*(Projections!I60/100))*-1</f>
        <v>0</v>
      </c>
      <c r="I49" s="291">
        <f>(Projections!$D$60*(Projections!J60/100))*-1</f>
        <v>0</v>
      </c>
      <c r="J49" s="291">
        <f>(Projections!$D$60*(Projections!K60/100))*-1</f>
        <v>0</v>
      </c>
      <c r="K49" s="291">
        <f>(Projections!$D$60*(Projections!L60/100))*-1</f>
        <v>0</v>
      </c>
      <c r="L49" s="291">
        <f>(Projections!$D$60*(Projections!M60/100))*-1</f>
        <v>0</v>
      </c>
      <c r="M49" s="291">
        <f>(Projections!$D$60*(Projections!N60/100))*-1</f>
        <v>0</v>
      </c>
      <c r="N49" s="291">
        <f>(Projections!$D$60*(Projections!O60/100))*-1</f>
        <v>0</v>
      </c>
      <c r="O49" s="291">
        <f>(Projections!$D$60*(Projections!P60/100))*-1</f>
        <v>0</v>
      </c>
      <c r="P49" s="291">
        <f t="shared" si="2"/>
        <v>0</v>
      </c>
      <c r="Q49" s="7"/>
    </row>
    <row r="50" spans="1:17" x14ac:dyDescent="0.2">
      <c r="A50" s="6"/>
      <c r="C50" s="298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7"/>
    </row>
    <row r="51" spans="1:17" x14ac:dyDescent="0.2">
      <c r="A51" s="6"/>
      <c r="C51" s="298" t="s">
        <v>411</v>
      </c>
      <c r="D51" s="312">
        <f>SUM(D52:D53)</f>
        <v>-562.50000000000011</v>
      </c>
      <c r="E51" s="312">
        <f>SUM(E52:E53)</f>
        <v>-146012.5</v>
      </c>
      <c r="F51" s="312">
        <f>SUM(F52:F53)</f>
        <v>-562.50000000000011</v>
      </c>
      <c r="G51" s="312">
        <f t="shared" ref="G51:O51" si="4">SUM(G52:G53)</f>
        <v>-562.50000000000011</v>
      </c>
      <c r="H51" s="312">
        <f t="shared" si="4"/>
        <v>-2362.5</v>
      </c>
      <c r="I51" s="312">
        <f t="shared" si="4"/>
        <v>-144212.5</v>
      </c>
      <c r="J51" s="312">
        <f t="shared" si="4"/>
        <v>-562.50000000000011</v>
      </c>
      <c r="K51" s="312">
        <f t="shared" si="4"/>
        <v>-2362.5</v>
      </c>
      <c r="L51" s="312">
        <f t="shared" si="4"/>
        <v>-562.50000000000011</v>
      </c>
      <c r="M51" s="312">
        <f t="shared" si="4"/>
        <v>-562.50000000000011</v>
      </c>
      <c r="N51" s="312">
        <f t="shared" si="4"/>
        <v>-2362.5</v>
      </c>
      <c r="O51" s="312">
        <f t="shared" si="4"/>
        <v>-562.50000000000011</v>
      </c>
      <c r="P51" s="315">
        <f t="shared" si="2"/>
        <v>-301250</v>
      </c>
      <c r="Q51" s="7"/>
    </row>
    <row r="52" spans="1:17" x14ac:dyDescent="0.2">
      <c r="A52" s="6"/>
      <c r="C52" s="302" t="s">
        <v>470</v>
      </c>
      <c r="D52" s="301">
        <f>(Projections!T2)*-1</f>
        <v>-562.50000000000011</v>
      </c>
      <c r="E52" s="301">
        <f>(Projections!U2)*-1</f>
        <v>-146012.5</v>
      </c>
      <c r="F52" s="301">
        <f>(Projections!V2)*-1</f>
        <v>-562.50000000000011</v>
      </c>
      <c r="G52" s="301">
        <f>(Projections!W2)*-1</f>
        <v>-562.50000000000011</v>
      </c>
      <c r="H52" s="301">
        <f>(Projections!X2)*-1</f>
        <v>-2362.5</v>
      </c>
      <c r="I52" s="301">
        <f>(Projections!Y2)*-1</f>
        <v>-144212.5</v>
      </c>
      <c r="J52" s="301">
        <f>(Projections!Z2)*-1</f>
        <v>-562.50000000000011</v>
      </c>
      <c r="K52" s="301">
        <f>(Projections!AA2)*-1</f>
        <v>-2362.5</v>
      </c>
      <c r="L52" s="301">
        <f>(Projections!AB2)*-1</f>
        <v>-562.50000000000011</v>
      </c>
      <c r="M52" s="301">
        <f>(Projections!AC2)*-1</f>
        <v>-562.50000000000011</v>
      </c>
      <c r="N52" s="301">
        <f>(Projections!AD2)*-1</f>
        <v>-2362.5</v>
      </c>
      <c r="O52" s="301">
        <f>(Projections!AE2)*-1</f>
        <v>-562.50000000000011</v>
      </c>
      <c r="P52" s="290">
        <f t="shared" si="2"/>
        <v>-301250</v>
      </c>
      <c r="Q52" s="7"/>
    </row>
    <row r="53" spans="1:17" x14ac:dyDescent="0.2">
      <c r="A53" s="6"/>
      <c r="C53" s="303" t="s">
        <v>471</v>
      </c>
      <c r="D53" s="291">
        <f>+($D$6*$D$7/100/12)*-1</f>
        <v>0</v>
      </c>
      <c r="E53" s="291">
        <f>+(($D$6+SUM(D62:D62))*$D$7/100/12)*-1</f>
        <v>0</v>
      </c>
      <c r="F53" s="291">
        <f>+(($D$6+SUM(D62:E62))*$D$7/100/12)*-1</f>
        <v>0</v>
      </c>
      <c r="G53" s="291">
        <f>+(($D$6+SUM(D62:F62))*$D$7/100/12)*-1</f>
        <v>0</v>
      </c>
      <c r="H53" s="291">
        <f>+(($D$6+SUM(D62:G62))*$D$7/100/12)*-1</f>
        <v>0</v>
      </c>
      <c r="I53" s="291">
        <f>+(($D$6+SUM(D62:H62))*$D$7/100/12)*-1</f>
        <v>0</v>
      </c>
      <c r="J53" s="291">
        <f>+(($D$6+SUM(D62:I62))*$D$7/100/12)*-1</f>
        <v>0</v>
      </c>
      <c r="K53" s="291">
        <f>+(($D$6+SUM(D62:J62))*$D$7/100/12)*-1</f>
        <v>0</v>
      </c>
      <c r="L53" s="291">
        <f>+(($D$6+SUM(D62:K62))*$D$7/100/12)*-1</f>
        <v>0</v>
      </c>
      <c r="M53" s="291">
        <f>+(($D$6+SUM(D62:L62))*$D$7/100/12)*-1</f>
        <v>0</v>
      </c>
      <c r="N53" s="291">
        <f>+(($D$6+SUM(D62:M62))*$D$7/100/12)*-1</f>
        <v>0</v>
      </c>
      <c r="O53" s="291">
        <f>+(($D$6+SUM(D62:N62))*$D$7/100/12)*-1</f>
        <v>0</v>
      </c>
      <c r="P53" s="291">
        <f t="shared" si="2"/>
        <v>0</v>
      </c>
      <c r="Q53" s="7"/>
    </row>
    <row r="54" spans="1:17" x14ac:dyDescent="0.2">
      <c r="A54" s="6"/>
      <c r="C54" s="298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7"/>
    </row>
    <row r="55" spans="1:17" x14ac:dyDescent="0.2">
      <c r="A55" s="6"/>
      <c r="P55" s="310"/>
      <c r="Q55" s="7"/>
    </row>
    <row r="56" spans="1:17" x14ac:dyDescent="0.2">
      <c r="A56" s="6"/>
      <c r="C56" s="66" t="s">
        <v>472</v>
      </c>
      <c r="D56" s="292">
        <f>(D51+D37)</f>
        <v>-60914.5</v>
      </c>
      <c r="E56" s="292">
        <f t="shared" ref="E56:O56" si="5">(E51+E37)</f>
        <v>-206364.5</v>
      </c>
      <c r="F56" s="292">
        <f t="shared" si="5"/>
        <v>-60914.5</v>
      </c>
      <c r="G56" s="292">
        <f t="shared" si="5"/>
        <v>-60914.5</v>
      </c>
      <c r="H56" s="292">
        <f t="shared" si="5"/>
        <v>-62714.5</v>
      </c>
      <c r="I56" s="292">
        <f t="shared" si="5"/>
        <v>-239564.5</v>
      </c>
      <c r="J56" s="292">
        <f t="shared" si="5"/>
        <v>-60914.5</v>
      </c>
      <c r="K56" s="292">
        <f t="shared" si="5"/>
        <v>-62714.5</v>
      </c>
      <c r="L56" s="292">
        <f t="shared" si="5"/>
        <v>-60914.5</v>
      </c>
      <c r="M56" s="292">
        <f t="shared" si="5"/>
        <v>-60914.5</v>
      </c>
      <c r="N56" s="292">
        <f t="shared" si="5"/>
        <v>-62714.5</v>
      </c>
      <c r="O56" s="292">
        <f t="shared" si="5"/>
        <v>-95914.5</v>
      </c>
      <c r="P56" s="291">
        <f t="shared" si="2"/>
        <v>-1095474</v>
      </c>
      <c r="Q56" s="7"/>
    </row>
    <row r="57" spans="1:17" x14ac:dyDescent="0.2">
      <c r="A57" s="6"/>
      <c r="C57" s="66" t="s">
        <v>474</v>
      </c>
      <c r="D57" s="292">
        <f>(D14+D56)</f>
        <v>59685.5</v>
      </c>
      <c r="E57" s="292">
        <f>(E14+E56)</f>
        <v>-105864.5</v>
      </c>
      <c r="F57" s="292">
        <f>(F14+F56)</f>
        <v>39585.5</v>
      </c>
      <c r="G57" s="292">
        <f t="shared" ref="G57:O57" si="6">(G14+G56)</f>
        <v>39585.5</v>
      </c>
      <c r="H57" s="292">
        <f t="shared" si="6"/>
        <v>238785.5</v>
      </c>
      <c r="I57" s="292">
        <f t="shared" si="6"/>
        <v>61935.5</v>
      </c>
      <c r="J57" s="292">
        <f t="shared" si="6"/>
        <v>240585.5</v>
      </c>
      <c r="K57" s="292">
        <f t="shared" si="6"/>
        <v>238785.5</v>
      </c>
      <c r="L57" s="292">
        <f t="shared" si="6"/>
        <v>39585.5</v>
      </c>
      <c r="M57" s="292">
        <f t="shared" si="6"/>
        <v>39585.5</v>
      </c>
      <c r="N57" s="292">
        <f t="shared" si="6"/>
        <v>37785.5</v>
      </c>
      <c r="O57" s="292">
        <f t="shared" si="6"/>
        <v>4585.5</v>
      </c>
      <c r="P57" s="292">
        <f t="shared" si="2"/>
        <v>934626</v>
      </c>
      <c r="Q57" s="7"/>
    </row>
    <row r="58" spans="1:17" x14ac:dyDescent="0.2">
      <c r="A58" s="6"/>
      <c r="C58" s="66" t="s">
        <v>480</v>
      </c>
      <c r="D58" s="292"/>
      <c r="E58" s="292"/>
      <c r="F58" s="292"/>
      <c r="G58" s="292"/>
      <c r="H58" s="292"/>
      <c r="I58" s="292">
        <f>(SUM($P$20:$P$31)*0.5*0.5)+(SUM('Cash Flow - Year 5'!$P$20:$P$31)*0.3*0.5)+(SUM('Cash Flow - Year 4'!$P$20:$P$31)*0.2*0.5)</f>
        <v>0</v>
      </c>
      <c r="J58" s="292"/>
      <c r="K58" s="292"/>
      <c r="L58" s="292"/>
      <c r="M58" s="292"/>
      <c r="N58" s="292"/>
      <c r="O58" s="292">
        <f>(SUM($P$20:$P$31)*0.5*0.5)+(SUM('Cash Flow - Year 5'!$P$20:$P$31)*0.3*0.5)+(SUM('Cash Flow - Year 4'!$P$20:$P$31)*0.2*0.5)</f>
        <v>0</v>
      </c>
      <c r="P58" s="292">
        <f t="shared" si="2"/>
        <v>0</v>
      </c>
      <c r="Q58" s="7"/>
    </row>
    <row r="59" spans="1:17" x14ac:dyDescent="0.2">
      <c r="A59" s="6"/>
      <c r="C59" s="66" t="s">
        <v>481</v>
      </c>
      <c r="D59" s="292">
        <f t="shared" ref="D59:O59" si="7">(D57+D58)</f>
        <v>59685.5</v>
      </c>
      <c r="E59" s="292">
        <f t="shared" si="7"/>
        <v>-105864.5</v>
      </c>
      <c r="F59" s="292">
        <f t="shared" si="7"/>
        <v>39585.5</v>
      </c>
      <c r="G59" s="292">
        <f t="shared" si="7"/>
        <v>39585.5</v>
      </c>
      <c r="H59" s="292">
        <f t="shared" si="7"/>
        <v>238785.5</v>
      </c>
      <c r="I59" s="292">
        <f t="shared" si="7"/>
        <v>61935.5</v>
      </c>
      <c r="J59" s="292">
        <f t="shared" si="7"/>
        <v>240585.5</v>
      </c>
      <c r="K59" s="292">
        <f t="shared" si="7"/>
        <v>238785.5</v>
      </c>
      <c r="L59" s="292">
        <f t="shared" si="7"/>
        <v>39585.5</v>
      </c>
      <c r="M59" s="292">
        <f t="shared" si="7"/>
        <v>39585.5</v>
      </c>
      <c r="N59" s="292">
        <f t="shared" si="7"/>
        <v>37785.5</v>
      </c>
      <c r="O59" s="292">
        <f t="shared" si="7"/>
        <v>4585.5</v>
      </c>
      <c r="P59" s="292">
        <f t="shared" si="2"/>
        <v>934626</v>
      </c>
      <c r="Q59" s="7"/>
    </row>
    <row r="60" spans="1:17" x14ac:dyDescent="0.2">
      <c r="A60" s="6"/>
      <c r="C60" s="66" t="s">
        <v>482</v>
      </c>
      <c r="D60" s="292">
        <f>(D59*($D$9/100))*-1</f>
        <v>0</v>
      </c>
      <c r="E60" s="292">
        <f>(E59*($D$9/100))*-1</f>
        <v>0</v>
      </c>
      <c r="F60" s="292">
        <f>(F59*($D$9/100))*-1</f>
        <v>0</v>
      </c>
      <c r="G60" s="292">
        <f t="shared" ref="G60:O60" si="8">(G59*($D$9/100))*-1</f>
        <v>0</v>
      </c>
      <c r="H60" s="292">
        <f t="shared" si="8"/>
        <v>0</v>
      </c>
      <c r="I60" s="292">
        <f t="shared" si="8"/>
        <v>0</v>
      </c>
      <c r="J60" s="292">
        <f t="shared" si="8"/>
        <v>0</v>
      </c>
      <c r="K60" s="292">
        <f t="shared" si="8"/>
        <v>0</v>
      </c>
      <c r="L60" s="292">
        <f t="shared" si="8"/>
        <v>0</v>
      </c>
      <c r="M60" s="292">
        <f t="shared" si="8"/>
        <v>0</v>
      </c>
      <c r="N60" s="292">
        <f t="shared" si="8"/>
        <v>0</v>
      </c>
      <c r="O60" s="292">
        <f t="shared" si="8"/>
        <v>0</v>
      </c>
      <c r="P60" s="292">
        <f t="shared" si="2"/>
        <v>0</v>
      </c>
      <c r="Q60" s="7"/>
    </row>
    <row r="61" spans="1:17" x14ac:dyDescent="0.2">
      <c r="A61" s="6"/>
      <c r="C61" s="66" t="s">
        <v>483</v>
      </c>
      <c r="D61" s="292">
        <f t="shared" ref="D61:O61" si="9">(D59+(D60))</f>
        <v>59685.5</v>
      </c>
      <c r="E61" s="292">
        <f t="shared" si="9"/>
        <v>-105864.5</v>
      </c>
      <c r="F61" s="292">
        <f t="shared" si="9"/>
        <v>39585.5</v>
      </c>
      <c r="G61" s="292">
        <f t="shared" si="9"/>
        <v>39585.5</v>
      </c>
      <c r="H61" s="292">
        <f t="shared" si="9"/>
        <v>238785.5</v>
      </c>
      <c r="I61" s="292">
        <f t="shared" si="9"/>
        <v>61935.5</v>
      </c>
      <c r="J61" s="292">
        <f t="shared" si="9"/>
        <v>240585.5</v>
      </c>
      <c r="K61" s="292">
        <f t="shared" si="9"/>
        <v>238785.5</v>
      </c>
      <c r="L61" s="292">
        <f t="shared" si="9"/>
        <v>39585.5</v>
      </c>
      <c r="M61" s="292">
        <f t="shared" si="9"/>
        <v>39585.5</v>
      </c>
      <c r="N61" s="292">
        <f t="shared" si="9"/>
        <v>37785.5</v>
      </c>
      <c r="O61" s="292">
        <f t="shared" si="9"/>
        <v>4585.5</v>
      </c>
      <c r="P61" s="292">
        <f t="shared" si="2"/>
        <v>934626</v>
      </c>
      <c r="Q61" s="7"/>
    </row>
    <row r="62" spans="1:17" ht="13.5" thickBot="1" x14ac:dyDescent="0.25">
      <c r="A62" s="6"/>
      <c r="C62" s="311" t="s">
        <v>475</v>
      </c>
      <c r="D62" s="301">
        <f>+($D$6/($D$8*12))*-1</f>
        <v>0</v>
      </c>
      <c r="E62" s="301">
        <f>+($D$6/($D$8*12))*-1</f>
        <v>0</v>
      </c>
      <c r="F62" s="301">
        <f>+($D$6/($D$8*12))*-1</f>
        <v>0</v>
      </c>
      <c r="G62" s="301">
        <f t="shared" ref="G62:O62" si="10">+($D$6/($D$8*12))*-1</f>
        <v>0</v>
      </c>
      <c r="H62" s="301">
        <f t="shared" si="10"/>
        <v>0</v>
      </c>
      <c r="I62" s="301">
        <f t="shared" si="10"/>
        <v>0</v>
      </c>
      <c r="J62" s="301">
        <f t="shared" si="10"/>
        <v>0</v>
      </c>
      <c r="K62" s="301">
        <f t="shared" si="10"/>
        <v>0</v>
      </c>
      <c r="L62" s="301">
        <f t="shared" si="10"/>
        <v>0</v>
      </c>
      <c r="M62" s="301">
        <f t="shared" si="10"/>
        <v>0</v>
      </c>
      <c r="N62" s="301">
        <f t="shared" si="10"/>
        <v>0</v>
      </c>
      <c r="O62" s="301">
        <f t="shared" si="10"/>
        <v>0</v>
      </c>
      <c r="P62" s="301">
        <f t="shared" si="2"/>
        <v>0</v>
      </c>
      <c r="Q62" s="7"/>
    </row>
    <row r="63" spans="1:17" ht="13.5" thickBot="1" x14ac:dyDescent="0.25">
      <c r="A63" s="6"/>
      <c r="C63" s="258" t="s">
        <v>484</v>
      </c>
      <c r="D63" s="313">
        <f t="shared" ref="D63:O63" si="11">(D57+D60+D62)</f>
        <v>59685.5</v>
      </c>
      <c r="E63" s="313">
        <f t="shared" si="11"/>
        <v>-105864.5</v>
      </c>
      <c r="F63" s="313">
        <f t="shared" si="11"/>
        <v>39585.5</v>
      </c>
      <c r="G63" s="313">
        <f t="shared" si="11"/>
        <v>39585.5</v>
      </c>
      <c r="H63" s="313">
        <f t="shared" si="11"/>
        <v>238785.5</v>
      </c>
      <c r="I63" s="313">
        <f t="shared" si="11"/>
        <v>61935.5</v>
      </c>
      <c r="J63" s="313">
        <f t="shared" si="11"/>
        <v>240585.5</v>
      </c>
      <c r="K63" s="313">
        <f t="shared" si="11"/>
        <v>238785.5</v>
      </c>
      <c r="L63" s="313">
        <f t="shared" si="11"/>
        <v>39585.5</v>
      </c>
      <c r="M63" s="313">
        <f t="shared" si="11"/>
        <v>39585.5</v>
      </c>
      <c r="N63" s="313">
        <f t="shared" si="11"/>
        <v>37785.5</v>
      </c>
      <c r="O63" s="313">
        <f t="shared" si="11"/>
        <v>4585.5</v>
      </c>
      <c r="P63" s="314">
        <f t="shared" si="2"/>
        <v>934626</v>
      </c>
      <c r="Q63" s="7"/>
    </row>
    <row r="64" spans="1:17" x14ac:dyDescent="0.2">
      <c r="A64" s="6"/>
      <c r="C64" s="265" t="s">
        <v>486</v>
      </c>
      <c r="D64" s="291">
        <f>('Cash Flow - Year 5'!P65)</f>
        <v>913534.13257083355</v>
      </c>
      <c r="E64" s="291">
        <f>(D65)</f>
        <v>973219.63257083355</v>
      </c>
      <c r="F64" s="291">
        <f>(E65)</f>
        <v>867355.13257083355</v>
      </c>
      <c r="G64" s="291">
        <f t="shared" ref="G64:O64" si="12">(F65)</f>
        <v>906940.63257083355</v>
      </c>
      <c r="H64" s="291">
        <f t="shared" si="12"/>
        <v>946526.13257083355</v>
      </c>
      <c r="I64" s="291">
        <f t="shared" si="12"/>
        <v>1185311.6325708334</v>
      </c>
      <c r="J64" s="291">
        <f t="shared" si="12"/>
        <v>1247247.1325708334</v>
      </c>
      <c r="K64" s="291">
        <f t="shared" si="12"/>
        <v>1487832.6325708334</v>
      </c>
      <c r="L64" s="291">
        <f t="shared" si="12"/>
        <v>1726618.1325708334</v>
      </c>
      <c r="M64" s="291">
        <f t="shared" si="12"/>
        <v>1766203.6325708334</v>
      </c>
      <c r="N64" s="291">
        <f t="shared" si="12"/>
        <v>1805789.1325708334</v>
      </c>
      <c r="O64" s="291">
        <f t="shared" si="12"/>
        <v>1843574.6325708334</v>
      </c>
      <c r="P64" s="46"/>
      <c r="Q64" s="7"/>
    </row>
    <row r="65" spans="1:17" ht="13.5" thickBot="1" x14ac:dyDescent="0.25">
      <c r="A65" s="6"/>
      <c r="C65" s="317" t="s">
        <v>487</v>
      </c>
      <c r="D65" s="301">
        <f t="shared" ref="D65:O65" si="13">(D63+D64)</f>
        <v>973219.63257083355</v>
      </c>
      <c r="E65" s="301">
        <f t="shared" si="13"/>
        <v>867355.13257083355</v>
      </c>
      <c r="F65" s="301">
        <f t="shared" si="13"/>
        <v>906940.63257083355</v>
      </c>
      <c r="G65" s="301">
        <f t="shared" si="13"/>
        <v>946526.13257083355</v>
      </c>
      <c r="H65" s="301">
        <f t="shared" si="13"/>
        <v>1185311.6325708334</v>
      </c>
      <c r="I65" s="301">
        <f t="shared" si="13"/>
        <v>1247247.1325708334</v>
      </c>
      <c r="J65" s="301">
        <f t="shared" si="13"/>
        <v>1487832.6325708334</v>
      </c>
      <c r="K65" s="301">
        <f t="shared" si="13"/>
        <v>1726618.1325708334</v>
      </c>
      <c r="L65" s="301">
        <f t="shared" si="13"/>
        <v>1766203.6325708334</v>
      </c>
      <c r="M65" s="301">
        <f t="shared" si="13"/>
        <v>1805789.1325708334</v>
      </c>
      <c r="N65" s="301">
        <f t="shared" si="13"/>
        <v>1843574.6325708334</v>
      </c>
      <c r="O65" s="301">
        <f t="shared" si="13"/>
        <v>1848160.1325708334</v>
      </c>
      <c r="P65" s="301">
        <f>(O65)*1.15</f>
        <v>2125384.1524564582</v>
      </c>
      <c r="Q65" s="7"/>
    </row>
    <row r="66" spans="1:17" x14ac:dyDescent="0.2">
      <c r="A66" s="6"/>
      <c r="C66" s="272" t="s">
        <v>489</v>
      </c>
      <c r="D66" s="318">
        <f>(D60)</f>
        <v>0</v>
      </c>
      <c r="E66" s="318">
        <f>(D66+E60)</f>
        <v>0</v>
      </c>
      <c r="F66" s="318">
        <f t="shared" ref="F66:O66" si="14">(E66+F60)</f>
        <v>0</v>
      </c>
      <c r="G66" s="318">
        <f t="shared" si="14"/>
        <v>0</v>
      </c>
      <c r="H66" s="318">
        <f t="shared" si="14"/>
        <v>0</v>
      </c>
      <c r="I66" s="318">
        <f t="shared" si="14"/>
        <v>0</v>
      </c>
      <c r="J66" s="318">
        <f t="shared" si="14"/>
        <v>0</v>
      </c>
      <c r="K66" s="318">
        <f t="shared" si="14"/>
        <v>0</v>
      </c>
      <c r="L66" s="318">
        <f t="shared" si="14"/>
        <v>0</v>
      </c>
      <c r="M66" s="318">
        <f t="shared" si="14"/>
        <v>0</v>
      </c>
      <c r="N66" s="318">
        <f t="shared" si="14"/>
        <v>0</v>
      </c>
      <c r="O66" s="318">
        <f t="shared" si="14"/>
        <v>0</v>
      </c>
      <c r="P66" s="319">
        <f>(O66)</f>
        <v>0</v>
      </c>
      <c r="Q66" s="7"/>
    </row>
    <row r="67" spans="1:17" ht="13.5" thickBot="1" x14ac:dyDescent="0.25">
      <c r="A67" s="6"/>
      <c r="C67" s="257" t="s">
        <v>488</v>
      </c>
      <c r="D67" s="255"/>
      <c r="E67" s="255"/>
      <c r="F67" s="255"/>
      <c r="G67" s="255"/>
      <c r="H67" s="255"/>
      <c r="I67" s="320">
        <f>(P66/2)</f>
        <v>0</v>
      </c>
      <c r="J67" s="255"/>
      <c r="K67" s="255"/>
      <c r="L67" s="255"/>
      <c r="M67" s="255"/>
      <c r="N67" s="255"/>
      <c r="O67" s="320">
        <f>(O66-I67)</f>
        <v>0</v>
      </c>
      <c r="P67" s="323">
        <f>(O67+I67)</f>
        <v>0</v>
      </c>
      <c r="Q67" s="7"/>
    </row>
    <row r="68" spans="1:17" ht="13.5" thickBot="1" x14ac:dyDescent="0.25">
      <c r="A68" s="26"/>
      <c r="B68" s="27"/>
      <c r="C68" s="27"/>
      <c r="D68" s="31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68"/>
  <sheetViews>
    <sheetView workbookViewId="0">
      <selection activeCell="D8" sqref="D8"/>
    </sheetView>
  </sheetViews>
  <sheetFormatPr defaultRowHeight="12.75" x14ac:dyDescent="0.2"/>
  <cols>
    <col min="1" max="1" width="1.28515625" customWidth="1"/>
    <col min="2" max="2" width="1.7109375" customWidth="1"/>
    <col min="3" max="3" width="43.7109375" customWidth="1"/>
    <col min="4" max="16" width="13.7109375" customWidth="1"/>
    <col min="17" max="17" width="2.7109375" customWidth="1"/>
  </cols>
  <sheetData>
    <row r="1" spans="1:17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x14ac:dyDescent="0.2">
      <c r="A2" s="6"/>
      <c r="B2" s="24" t="s">
        <v>510</v>
      </c>
      <c r="C2" s="2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 t="s">
        <v>509</v>
      </c>
      <c r="Q2" s="7"/>
    </row>
    <row r="3" spans="1:17" ht="13.5" thickBot="1" x14ac:dyDescent="0.25">
      <c r="A3" s="6"/>
      <c r="Q3" s="7"/>
    </row>
    <row r="4" spans="1:17" ht="13.5" thickBot="1" x14ac:dyDescent="0.25">
      <c r="A4" s="6"/>
      <c r="C4" s="43" t="s">
        <v>461</v>
      </c>
      <c r="Q4" s="7"/>
    </row>
    <row r="5" spans="1:17" x14ac:dyDescent="0.2">
      <c r="A5" s="6"/>
      <c r="Q5" s="7"/>
    </row>
    <row r="6" spans="1:17" x14ac:dyDescent="0.2">
      <c r="A6" s="6"/>
      <c r="C6" s="88" t="s">
        <v>473</v>
      </c>
      <c r="D6" s="296">
        <f>('Cash Flow - Year 6'!D6+'Cash Flow - Year 6'!P62)</f>
        <v>0</v>
      </c>
      <c r="Q6" s="7"/>
    </row>
    <row r="7" spans="1:17" x14ac:dyDescent="0.2">
      <c r="A7" s="6"/>
      <c r="C7" s="88" t="s">
        <v>479</v>
      </c>
      <c r="D7">
        <v>15</v>
      </c>
      <c r="Q7" s="7"/>
    </row>
    <row r="8" spans="1:17" x14ac:dyDescent="0.2">
      <c r="A8" s="6"/>
      <c r="C8" s="88" t="s">
        <v>485</v>
      </c>
      <c r="D8">
        <f>IF(('Cash Flow - Year 6'!D8-1)&lt;=0,1,('Cash Flow - Year 6'!D8-1))</f>
        <v>1</v>
      </c>
      <c r="Q8" s="7"/>
    </row>
    <row r="9" spans="1:17" x14ac:dyDescent="0.2">
      <c r="A9" s="6"/>
      <c r="C9" s="88" t="s">
        <v>476</v>
      </c>
      <c r="D9">
        <v>0</v>
      </c>
      <c r="Q9" s="7"/>
    </row>
    <row r="10" spans="1:17" x14ac:dyDescent="0.2">
      <c r="A10" s="6"/>
      <c r="C10" s="88"/>
      <c r="Q10" s="7"/>
    </row>
    <row r="11" spans="1:17" ht="13.5" thickBot="1" x14ac:dyDescent="0.25">
      <c r="A11" s="6"/>
      <c r="Q11" s="7"/>
    </row>
    <row r="12" spans="1:17" ht="13.5" thickBot="1" x14ac:dyDescent="0.25">
      <c r="A12" s="6"/>
      <c r="C12" s="258" t="s">
        <v>234</v>
      </c>
      <c r="D12" s="281" t="s">
        <v>388</v>
      </c>
      <c r="E12" s="281" t="s">
        <v>389</v>
      </c>
      <c r="F12" s="281" t="s">
        <v>390</v>
      </c>
      <c r="G12" s="281" t="s">
        <v>391</v>
      </c>
      <c r="H12" s="281" t="s">
        <v>392</v>
      </c>
      <c r="I12" s="281" t="s">
        <v>393</v>
      </c>
      <c r="J12" s="281" t="s">
        <v>394</v>
      </c>
      <c r="K12" s="281" t="s">
        <v>395</v>
      </c>
      <c r="L12" s="281" t="s">
        <v>396</v>
      </c>
      <c r="M12" s="281" t="s">
        <v>397</v>
      </c>
      <c r="N12" s="281" t="s">
        <v>398</v>
      </c>
      <c r="O12" s="293" t="s">
        <v>399</v>
      </c>
      <c r="P12" s="294" t="s">
        <v>78</v>
      </c>
      <c r="Q12" s="7"/>
    </row>
    <row r="13" spans="1:17" x14ac:dyDescent="0.2">
      <c r="A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22"/>
      <c r="Q13" s="7"/>
    </row>
    <row r="14" spans="1:17" x14ac:dyDescent="0.2">
      <c r="A14" s="6"/>
      <c r="C14" s="295" t="s">
        <v>462</v>
      </c>
      <c r="D14" s="1">
        <f>(D15*D16)</f>
        <v>120600</v>
      </c>
      <c r="E14" s="1">
        <f>(E15*E16)</f>
        <v>100500</v>
      </c>
      <c r="F14" s="1">
        <f>(F15*F16)</f>
        <v>100500</v>
      </c>
      <c r="G14" s="1">
        <f t="shared" ref="G14:O14" si="0">(G15*G16)</f>
        <v>100500</v>
      </c>
      <c r="H14" s="1">
        <f t="shared" si="0"/>
        <v>301500</v>
      </c>
      <c r="I14" s="1">
        <f t="shared" si="0"/>
        <v>301500</v>
      </c>
      <c r="J14" s="1">
        <f t="shared" si="0"/>
        <v>301500</v>
      </c>
      <c r="K14" s="1">
        <f t="shared" si="0"/>
        <v>301500</v>
      </c>
      <c r="L14" s="1">
        <f t="shared" si="0"/>
        <v>100500</v>
      </c>
      <c r="M14" s="1">
        <f t="shared" si="0"/>
        <v>100500</v>
      </c>
      <c r="N14" s="1">
        <f t="shared" si="0"/>
        <v>100500</v>
      </c>
      <c r="O14" s="1">
        <f t="shared" si="0"/>
        <v>100500</v>
      </c>
      <c r="P14" s="312">
        <f>SUM(D14:O14)</f>
        <v>2030100</v>
      </c>
      <c r="Q14" s="7"/>
    </row>
    <row r="15" spans="1:17" x14ac:dyDescent="0.2">
      <c r="A15" s="6"/>
      <c r="C15" s="308" t="s">
        <v>463</v>
      </c>
      <c r="D15" s="300">
        <f>(Projections!E19)</f>
        <v>40200</v>
      </c>
      <c r="E15" s="300">
        <f>(Projections!F19)</f>
        <v>33500</v>
      </c>
      <c r="F15" s="300">
        <f>(Projections!G19)</f>
        <v>33500</v>
      </c>
      <c r="G15" s="300">
        <f>(Projections!H19)</f>
        <v>33500</v>
      </c>
      <c r="H15" s="300">
        <f>(Projections!I19)</f>
        <v>100500</v>
      </c>
      <c r="I15" s="300">
        <f>(Projections!J19)</f>
        <v>100500</v>
      </c>
      <c r="J15" s="300">
        <f>(Projections!K19)</f>
        <v>100500</v>
      </c>
      <c r="K15" s="300">
        <f>(Projections!L19)</f>
        <v>100500</v>
      </c>
      <c r="L15" s="300">
        <f>(Projections!M19)</f>
        <v>33500</v>
      </c>
      <c r="M15" s="300">
        <f>(Projections!N19)</f>
        <v>33500</v>
      </c>
      <c r="N15" s="300">
        <f>(Projections!O19)</f>
        <v>33500</v>
      </c>
      <c r="O15" s="300">
        <f>(Projections!P19)</f>
        <v>33500</v>
      </c>
      <c r="P15" s="301">
        <f>SUM(D15:O15)</f>
        <v>676700</v>
      </c>
      <c r="Q15" s="7"/>
    </row>
    <row r="16" spans="1:17" x14ac:dyDescent="0.2">
      <c r="A16" s="6"/>
      <c r="C16" s="309" t="s">
        <v>464</v>
      </c>
      <c r="D16" s="61">
        <f>(Projections!$D$7)</f>
        <v>3</v>
      </c>
      <c r="E16" s="61">
        <f>(Projections!$D$7)</f>
        <v>3</v>
      </c>
      <c r="F16" s="61">
        <f>(Projections!$D$7)</f>
        <v>3</v>
      </c>
      <c r="G16" s="61">
        <f>(Projections!$D$7)</f>
        <v>3</v>
      </c>
      <c r="H16" s="61">
        <f>(Projections!$D$7)</f>
        <v>3</v>
      </c>
      <c r="I16" s="61">
        <f>(Projections!$D$7)</f>
        <v>3</v>
      </c>
      <c r="J16" s="61">
        <f>(Projections!$D$7)</f>
        <v>3</v>
      </c>
      <c r="K16" s="61">
        <f>(Projections!$D$7)</f>
        <v>3</v>
      </c>
      <c r="L16" s="61">
        <f>(Projections!$D$7)</f>
        <v>3</v>
      </c>
      <c r="M16" s="61">
        <f>(Projections!$D$7)</f>
        <v>3</v>
      </c>
      <c r="N16" s="61">
        <f>(Projections!$D$7)</f>
        <v>3</v>
      </c>
      <c r="O16" s="61">
        <f>(Projections!$D$7)</f>
        <v>3</v>
      </c>
      <c r="P16" s="291"/>
      <c r="Q16" s="7"/>
    </row>
    <row r="17" spans="1:17" x14ac:dyDescent="0.2">
      <c r="A17" s="6"/>
      <c r="C17" s="297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96"/>
      <c r="Q17" s="7"/>
    </row>
    <row r="18" spans="1:17" x14ac:dyDescent="0.2">
      <c r="A18" s="6"/>
      <c r="C18" s="1" t="s">
        <v>465</v>
      </c>
      <c r="P18" s="296"/>
      <c r="Q18" s="7"/>
    </row>
    <row r="19" spans="1:17" x14ac:dyDescent="0.2">
      <c r="A19" s="6"/>
      <c r="C19" s="298" t="s">
        <v>412</v>
      </c>
      <c r="D19" s="312">
        <f>SUM(D20:D35)</f>
        <v>0</v>
      </c>
      <c r="E19" s="312">
        <f>SUM(E20:E35)</f>
        <v>0</v>
      </c>
      <c r="F19" s="312">
        <f>SUM(F20:F35)</f>
        <v>0</v>
      </c>
      <c r="G19" s="312">
        <f t="shared" ref="G19:O19" si="1">SUM(G20:G35)</f>
        <v>0</v>
      </c>
      <c r="H19" s="312">
        <f t="shared" si="1"/>
        <v>0</v>
      </c>
      <c r="I19" s="312">
        <f t="shared" si="1"/>
        <v>0</v>
      </c>
      <c r="J19" s="312">
        <f t="shared" si="1"/>
        <v>0</v>
      </c>
      <c r="K19" s="312">
        <f t="shared" si="1"/>
        <v>0</v>
      </c>
      <c r="L19" s="312">
        <f t="shared" si="1"/>
        <v>0</v>
      </c>
      <c r="M19" s="312">
        <f t="shared" si="1"/>
        <v>0</v>
      </c>
      <c r="N19" s="312">
        <f t="shared" si="1"/>
        <v>0</v>
      </c>
      <c r="O19" s="312">
        <f t="shared" si="1"/>
        <v>0</v>
      </c>
      <c r="P19" s="315">
        <f t="shared" ref="P19:P63" si="2">SUM(D19:O19)</f>
        <v>0</v>
      </c>
      <c r="Q19" s="7"/>
    </row>
    <row r="20" spans="1:17" x14ac:dyDescent="0.2">
      <c r="A20" s="6"/>
      <c r="C20" s="304" t="s">
        <v>415</v>
      </c>
      <c r="D20" s="301">
        <v>0</v>
      </c>
      <c r="E20" s="301">
        <f>(Projections!$D$30*(Projections!F30/100))*-1</f>
        <v>0</v>
      </c>
      <c r="F20" s="301">
        <f>(Projections!$D$30*(Projections!G30/100))*-1</f>
        <v>0</v>
      </c>
      <c r="G20" s="301">
        <f>(Projections!$D$30*(Projections!H30/100))*-1</f>
        <v>0</v>
      </c>
      <c r="H20" s="301">
        <f>(Projections!$D$30*(Projections!I30/100))*-1</f>
        <v>0</v>
      </c>
      <c r="I20" s="301">
        <f>(Projections!$D$30*(Projections!J30/100))*-1</f>
        <v>0</v>
      </c>
      <c r="J20" s="301">
        <f>(Projections!$D$30*(Projections!K30/100))*-1</f>
        <v>0</v>
      </c>
      <c r="K20" s="301">
        <f>(Projections!$D$30*(Projections!L30/100))*-1</f>
        <v>0</v>
      </c>
      <c r="L20" s="301">
        <f>(Projections!$D$30*(Projections!M30/100))*-1</f>
        <v>0</v>
      </c>
      <c r="M20" s="301">
        <f>(Projections!$D$30*(Projections!N30/100))*-1</f>
        <v>0</v>
      </c>
      <c r="N20" s="301">
        <f>(Projections!$D$30*(Projections!O30/100))*-1</f>
        <v>0</v>
      </c>
      <c r="O20" s="301">
        <f>(Projections!$D$30*(Projections!P30/100))*-1</f>
        <v>0</v>
      </c>
      <c r="P20" s="290">
        <f t="shared" si="2"/>
        <v>0</v>
      </c>
      <c r="Q20" s="7"/>
    </row>
    <row r="21" spans="1:17" x14ac:dyDescent="0.2">
      <c r="A21" s="6"/>
      <c r="C21" s="305" t="s">
        <v>416</v>
      </c>
      <c r="D21" s="290">
        <v>0</v>
      </c>
      <c r="E21" s="290">
        <f>(Projections!$D$31*(Projections!F31/100))*-1</f>
        <v>0</v>
      </c>
      <c r="F21" s="290">
        <f>(Projections!$D$31*(Projections!G31/100))*-1</f>
        <v>0</v>
      </c>
      <c r="G21" s="290">
        <f>(Projections!$D$31*(Projections!H31/100))*-1</f>
        <v>0</v>
      </c>
      <c r="H21" s="290">
        <f>(Projections!$D$31*(Projections!I31/100))*-1</f>
        <v>0</v>
      </c>
      <c r="I21" s="290">
        <f>(Projections!$D$31*(Projections!J31/100))*-1</f>
        <v>0</v>
      </c>
      <c r="J21" s="290">
        <f>(Projections!$D$31*(Projections!K31/100))*-1</f>
        <v>0</v>
      </c>
      <c r="K21" s="290">
        <f>(Projections!$D$31*(Projections!L31/100))*-1</f>
        <v>0</v>
      </c>
      <c r="L21" s="290">
        <f>(Projections!$D$31*(Projections!M31/100))*-1</f>
        <v>0</v>
      </c>
      <c r="M21" s="290">
        <f>(Projections!$D$31*(Projections!N31/100))*-1</f>
        <v>0</v>
      </c>
      <c r="N21" s="290">
        <f>(Projections!$D$31*(Projections!O31/100))*-1</f>
        <v>0</v>
      </c>
      <c r="O21" s="290">
        <f>(Projections!$D$31*(Projections!P31/100))*-1</f>
        <v>0</v>
      </c>
      <c r="P21" s="290">
        <f t="shared" si="2"/>
        <v>0</v>
      </c>
      <c r="Q21" s="7"/>
    </row>
    <row r="22" spans="1:17" x14ac:dyDescent="0.2">
      <c r="A22" s="6"/>
      <c r="C22" s="305" t="s">
        <v>418</v>
      </c>
      <c r="D22" s="290">
        <v>0</v>
      </c>
      <c r="E22" s="290">
        <f>(Projections!$D$32*(Projections!F32/100))*-1</f>
        <v>0</v>
      </c>
      <c r="F22" s="290">
        <f>(Projections!$D$32*(Projections!G32/100))*-1</f>
        <v>0</v>
      </c>
      <c r="G22" s="290">
        <f>(Projections!$D$32*(Projections!H32/100))*-1</f>
        <v>0</v>
      </c>
      <c r="H22" s="290">
        <f>(Projections!$D$32*(Projections!I32/100))*-1</f>
        <v>0</v>
      </c>
      <c r="I22" s="290">
        <f>(Projections!$D$32*(Projections!J32/100))*-1</f>
        <v>0</v>
      </c>
      <c r="J22" s="290">
        <f>(Projections!$D$32*(Projections!K32/100))*-1</f>
        <v>0</v>
      </c>
      <c r="K22" s="290">
        <f>(Projections!$D$32*(Projections!L32/100))*-1</f>
        <v>0</v>
      </c>
      <c r="L22" s="290">
        <f>(Projections!$D$32*(Projections!M32/100))*-1</f>
        <v>0</v>
      </c>
      <c r="M22" s="290">
        <f>(Projections!$D$32*(Projections!N32/100))*-1</f>
        <v>0</v>
      </c>
      <c r="N22" s="290">
        <f>(Projections!$D$32*(Projections!O32/100))*-1</f>
        <v>0</v>
      </c>
      <c r="O22" s="290">
        <f>(Projections!$D$32*(Projections!P32/100))*-1</f>
        <v>0</v>
      </c>
      <c r="P22" s="290">
        <f t="shared" si="2"/>
        <v>0</v>
      </c>
      <c r="Q22" s="7"/>
    </row>
    <row r="23" spans="1:17" x14ac:dyDescent="0.2">
      <c r="A23" s="6"/>
      <c r="C23" s="305" t="s">
        <v>417</v>
      </c>
      <c r="D23" s="290">
        <v>0</v>
      </c>
      <c r="E23" s="290">
        <f>(Projections!$D$33*(Projections!F33/100))*-1</f>
        <v>0</v>
      </c>
      <c r="F23" s="290">
        <f>(Projections!$D$33*(Projections!G33/100))*-1</f>
        <v>0</v>
      </c>
      <c r="G23" s="290">
        <f>(Projections!$D$33*(Projections!H33/100))*-1</f>
        <v>0</v>
      </c>
      <c r="H23" s="290">
        <f>(Projections!$D$33*(Projections!I33/100))*-1</f>
        <v>0</v>
      </c>
      <c r="I23" s="290">
        <f>(Projections!$D$33*(Projections!J33/100))*-1</f>
        <v>0</v>
      </c>
      <c r="J23" s="290">
        <f>(Projections!$D$33*(Projections!K33/100))*-1</f>
        <v>0</v>
      </c>
      <c r="K23" s="290">
        <f>(Projections!$D$33*(Projections!L33/100))*-1</f>
        <v>0</v>
      </c>
      <c r="L23" s="290">
        <f>(Projections!$D$33*(Projections!M33/100))*-1</f>
        <v>0</v>
      </c>
      <c r="M23" s="290">
        <f>(Projections!$D$33*(Projections!N33/100))*-1</f>
        <v>0</v>
      </c>
      <c r="N23" s="290">
        <f>(Projections!$D$33*(Projections!O33/100))*-1</f>
        <v>0</v>
      </c>
      <c r="O23" s="290">
        <f>(Projections!$D$33*(Projections!P33/100))*-1</f>
        <v>0</v>
      </c>
      <c r="P23" s="290">
        <f t="shared" si="2"/>
        <v>0</v>
      </c>
      <c r="Q23" s="7"/>
    </row>
    <row r="24" spans="1:17" x14ac:dyDescent="0.2">
      <c r="A24" s="6"/>
      <c r="C24" s="305" t="s">
        <v>419</v>
      </c>
      <c r="D24" s="290">
        <v>0</v>
      </c>
      <c r="E24" s="290">
        <f>(Projections!$D$34*(Projections!F34/100))*-1</f>
        <v>0</v>
      </c>
      <c r="F24" s="290">
        <f>(Projections!$D$34*(Projections!G34/100))*-1</f>
        <v>0</v>
      </c>
      <c r="G24" s="290">
        <f>(Projections!$D$34*(Projections!H34/100))*-1</f>
        <v>0</v>
      </c>
      <c r="H24" s="290">
        <f>(Projections!$D$34*(Projections!I34/100))*-1</f>
        <v>0</v>
      </c>
      <c r="I24" s="290">
        <f>(Projections!$D$34*(Projections!J34/100))*-1</f>
        <v>0</v>
      </c>
      <c r="J24" s="290">
        <f>(Projections!$D$34*(Projections!K34/100))*-1</f>
        <v>0</v>
      </c>
      <c r="K24" s="290">
        <f>(Projections!$D$34*(Projections!L34/100))*-1</f>
        <v>0</v>
      </c>
      <c r="L24" s="290">
        <f>(Projections!$D$34*(Projections!M34/100))*-1</f>
        <v>0</v>
      </c>
      <c r="M24" s="290">
        <f>(Projections!$D$34*(Projections!N34/100))*-1</f>
        <v>0</v>
      </c>
      <c r="N24" s="290">
        <f>(Projections!$D$34*(Projections!O34/100))*-1</f>
        <v>0</v>
      </c>
      <c r="O24" s="290">
        <f>(Projections!$D$34*(Projections!P34/100))*-1</f>
        <v>0</v>
      </c>
      <c r="P24" s="290">
        <f t="shared" si="2"/>
        <v>0</v>
      </c>
      <c r="Q24" s="7"/>
    </row>
    <row r="25" spans="1:17" x14ac:dyDescent="0.2">
      <c r="A25" s="6"/>
      <c r="C25" s="305" t="s">
        <v>420</v>
      </c>
      <c r="D25" s="290">
        <v>0</v>
      </c>
      <c r="E25" s="290">
        <f>(Projections!$D$35*(Projections!F35/100))*-1</f>
        <v>0</v>
      </c>
      <c r="F25" s="290">
        <f>(Projections!$D$35*(Projections!G35/100))*-1</f>
        <v>0</v>
      </c>
      <c r="G25" s="290">
        <f>(Projections!$D$35*(Projections!H35/100))*-1</f>
        <v>0</v>
      </c>
      <c r="H25" s="290">
        <f>(Projections!$D$35*(Projections!I35/100))*-1</f>
        <v>0</v>
      </c>
      <c r="I25" s="290">
        <f>(Projections!$D$35*(Projections!J35/100))*-1</f>
        <v>0</v>
      </c>
      <c r="J25" s="290">
        <f>(Projections!$D$35*(Projections!K35/100))*-1</f>
        <v>0</v>
      </c>
      <c r="K25" s="290">
        <f>(Projections!$D$35*(Projections!L35/100))*-1</f>
        <v>0</v>
      </c>
      <c r="L25" s="290">
        <f>(Projections!$D$35*(Projections!M35/100))*-1</f>
        <v>0</v>
      </c>
      <c r="M25" s="290">
        <f>(Projections!$D$35*(Projections!N35/100))*-1</f>
        <v>0</v>
      </c>
      <c r="N25" s="290">
        <f>(Projections!$D$35*(Projections!O35/100))*-1</f>
        <v>0</v>
      </c>
      <c r="O25" s="290">
        <f>(Projections!$D$35*(Projections!P35/100))*-1</f>
        <v>0</v>
      </c>
      <c r="P25" s="290">
        <f t="shared" si="2"/>
        <v>0</v>
      </c>
      <c r="Q25" s="7"/>
    </row>
    <row r="26" spans="1:17" x14ac:dyDescent="0.2">
      <c r="A26" s="6"/>
      <c r="C26" s="305" t="s">
        <v>421</v>
      </c>
      <c r="D26" s="290">
        <f>(Projections!$D$36*(Projections!E36/100))*-1</f>
        <v>0</v>
      </c>
      <c r="E26" s="290">
        <f>(Projections!$D$36*(Projections!F36/100))*-1</f>
        <v>0</v>
      </c>
      <c r="F26" s="290">
        <f>(Projections!$D$36*(Projections!G36/100))*-1</f>
        <v>0</v>
      </c>
      <c r="G26" s="290">
        <f>(Projections!$D$36*(Projections!H36/100))*-1</f>
        <v>0</v>
      </c>
      <c r="H26" s="290">
        <f>(Projections!$D$36*(Projections!I36/100))*-1</f>
        <v>0</v>
      </c>
      <c r="I26" s="290">
        <f>(Projections!$D$36*(Projections!J36/100))*-1</f>
        <v>0</v>
      </c>
      <c r="J26" s="290">
        <f>(Projections!$D$36*(Projections!K36/100))*-1</f>
        <v>0</v>
      </c>
      <c r="K26" s="290">
        <f>(Projections!$D$36*(Projections!L36/100))*-1</f>
        <v>0</v>
      </c>
      <c r="L26" s="290">
        <f>(Projections!$D$36*(Projections!M36/100))*-1</f>
        <v>0</v>
      </c>
      <c r="M26" s="290">
        <f>(Projections!$D$36*(Projections!N36/100))*-1</f>
        <v>0</v>
      </c>
      <c r="N26" s="290">
        <f>(Projections!$D$36*(Projections!O36/100))*-1</f>
        <v>0</v>
      </c>
      <c r="O26" s="290">
        <f>(Projections!$D$36*(Projections!P36/100))*-1</f>
        <v>0</v>
      </c>
      <c r="P26" s="290">
        <f t="shared" si="2"/>
        <v>0</v>
      </c>
      <c r="Q26" s="7"/>
    </row>
    <row r="27" spans="1:17" x14ac:dyDescent="0.2">
      <c r="A27" s="6"/>
      <c r="C27" s="305" t="s">
        <v>422</v>
      </c>
      <c r="D27" s="290">
        <f>(Projections!$D$37*(Projections!E37/100))*-1</f>
        <v>0</v>
      </c>
      <c r="E27" s="290">
        <f>(Projections!$D$37*(Projections!F37/100))*-1</f>
        <v>0</v>
      </c>
      <c r="F27" s="290">
        <f>(Projections!$D$37*(Projections!G37/100))*-1</f>
        <v>0</v>
      </c>
      <c r="G27" s="290">
        <f>(Projections!$D$37*(Projections!H37/100))*-1</f>
        <v>0</v>
      </c>
      <c r="H27" s="290">
        <f>(Projections!$D$37*(Projections!I37/100))*-1</f>
        <v>0</v>
      </c>
      <c r="I27" s="290">
        <f>(Projections!$D$37*(Projections!J37/100))*-1</f>
        <v>0</v>
      </c>
      <c r="J27" s="290">
        <f>(Projections!$D$37*(Projections!K37/100))*-1</f>
        <v>0</v>
      </c>
      <c r="K27" s="290">
        <f>(Projections!$D$37*(Projections!L37/100))*-1</f>
        <v>0</v>
      </c>
      <c r="L27" s="290">
        <f>(Projections!$D$37*(Projections!M37/100))*-1</f>
        <v>0</v>
      </c>
      <c r="M27" s="290">
        <f>(Projections!$D$37*(Projections!N37/100))*-1</f>
        <v>0</v>
      </c>
      <c r="N27" s="290">
        <f>(Projections!$D$37*(Projections!O37/100))*-1</f>
        <v>0</v>
      </c>
      <c r="O27" s="290">
        <f>(Projections!$D$37*(Projections!P37/100))*-1</f>
        <v>0</v>
      </c>
      <c r="P27" s="290">
        <f t="shared" si="2"/>
        <v>0</v>
      </c>
      <c r="Q27" s="7"/>
    </row>
    <row r="28" spans="1:17" x14ac:dyDescent="0.2">
      <c r="A28" s="6"/>
      <c r="C28" s="305" t="s">
        <v>423</v>
      </c>
      <c r="D28" s="290">
        <f>(Projections!$D$38*(Projections!E38/100))*-1</f>
        <v>0</v>
      </c>
      <c r="E28" s="290">
        <f>(Projections!$D$38*(Projections!F38/100))*-1</f>
        <v>0</v>
      </c>
      <c r="F28" s="290">
        <f>(Projections!$D$38*(Projections!G38/100))*-1</f>
        <v>0</v>
      </c>
      <c r="G28" s="290">
        <f>(Projections!$D$38*(Projections!H38/100))*-1</f>
        <v>0</v>
      </c>
      <c r="H28" s="290">
        <f>(Projections!$D$38*(Projections!I38/100))*-1</f>
        <v>0</v>
      </c>
      <c r="I28" s="290">
        <f>(Projections!$D$38*(Projections!J38/100))*-1</f>
        <v>0</v>
      </c>
      <c r="J28" s="290">
        <f>(Projections!$D$38*(Projections!K38/100))*-1</f>
        <v>0</v>
      </c>
      <c r="K28" s="290">
        <f>(Projections!$D$38*(Projections!L38/100))*-1</f>
        <v>0</v>
      </c>
      <c r="L28" s="290">
        <f>(Projections!$D$38*(Projections!M38/100))*-1</f>
        <v>0</v>
      </c>
      <c r="M28" s="290">
        <f>(Projections!$D$38*(Projections!N38/100))*-1</f>
        <v>0</v>
      </c>
      <c r="N28" s="290">
        <f>(Projections!$D$38*(Projections!O38/100))*-1</f>
        <v>0</v>
      </c>
      <c r="O28" s="290">
        <f>(Projections!$D$38*(Projections!P38/100))*-1</f>
        <v>0</v>
      </c>
      <c r="P28" s="290">
        <f t="shared" si="2"/>
        <v>0</v>
      </c>
      <c r="Q28" s="7"/>
    </row>
    <row r="29" spans="1:17" x14ac:dyDescent="0.2">
      <c r="A29" s="6"/>
      <c r="C29" s="307" t="s">
        <v>424</v>
      </c>
      <c r="D29" s="290">
        <f>(Projections!$D$39*(Projections!E39/100))*-1</f>
        <v>0</v>
      </c>
      <c r="E29" s="290">
        <f>(Projections!$D$39*(Projections!F39/100))*-1</f>
        <v>0</v>
      </c>
      <c r="F29" s="290">
        <f>(Projections!$D$39*(Projections!G39/100))*-1</f>
        <v>0</v>
      </c>
      <c r="G29" s="290">
        <f>(Projections!$D$39*(Projections!H39/100))*-1</f>
        <v>0</v>
      </c>
      <c r="H29" s="290">
        <f>(Projections!$D$39*(Projections!I39/100))*-1</f>
        <v>0</v>
      </c>
      <c r="I29" s="290">
        <f>(Projections!$D$39*(Projections!J39/100))*-1</f>
        <v>0</v>
      </c>
      <c r="J29" s="290">
        <f>(Projections!$D$39*(Projections!K39/100))*-1</f>
        <v>0</v>
      </c>
      <c r="K29" s="290">
        <f>(Projections!$D$39*(Projections!L39/100))*-1</f>
        <v>0</v>
      </c>
      <c r="L29" s="290">
        <f>(Projections!$D$39*(Projections!M39/100))*-1</f>
        <v>0</v>
      </c>
      <c r="M29" s="290">
        <f>(Projections!$D$39*(Projections!N39/100))*-1</f>
        <v>0</v>
      </c>
      <c r="N29" s="290">
        <f>(Projections!$D$39*(Projections!O39/100))*-1</f>
        <v>0</v>
      </c>
      <c r="O29" s="290">
        <f>(Projections!$D$39*(Projections!P39/100))*-1</f>
        <v>0</v>
      </c>
      <c r="P29" s="290">
        <f t="shared" si="2"/>
        <v>0</v>
      </c>
      <c r="Q29" s="7"/>
    </row>
    <row r="30" spans="1:17" x14ac:dyDescent="0.2">
      <c r="A30" s="6"/>
      <c r="C30" s="307" t="s">
        <v>425</v>
      </c>
      <c r="D30" s="290">
        <f>(Projections!$D$40*(Projections!E40/100))*-1</f>
        <v>0</v>
      </c>
      <c r="E30" s="290">
        <f>(Projections!$D$40*(Projections!F40/100))*-1</f>
        <v>0</v>
      </c>
      <c r="F30" s="290">
        <f>(Projections!$D$40*(Projections!G40/100))*-1</f>
        <v>0</v>
      </c>
      <c r="G30" s="290">
        <f>(Projections!$D$40*(Projections!H40/100))*-1</f>
        <v>0</v>
      </c>
      <c r="H30" s="290">
        <f>(Projections!$D$40*(Projections!I40/100))*-1</f>
        <v>0</v>
      </c>
      <c r="I30" s="290">
        <f>(Projections!$D$40*(Projections!J40/100))*-1</f>
        <v>0</v>
      </c>
      <c r="J30" s="290">
        <f>(Projections!$D$40*(Projections!K40/100))*-1</f>
        <v>0</v>
      </c>
      <c r="K30" s="290">
        <f>(Projections!$D$40*(Projections!L40/100))*-1</f>
        <v>0</v>
      </c>
      <c r="L30" s="290">
        <f>(Projections!$D$40*(Projections!M40/100))*-1</f>
        <v>0</v>
      </c>
      <c r="M30" s="290">
        <f>(Projections!$D$40*(Projections!N40/100))*-1</f>
        <v>0</v>
      </c>
      <c r="N30" s="290">
        <f>(Projections!$D$40*(Projections!O40/100))*-1</f>
        <v>0</v>
      </c>
      <c r="O30" s="290">
        <f>(Projections!$D$40*(Projections!P40/100))*-1</f>
        <v>0</v>
      </c>
      <c r="P30" s="290">
        <f t="shared" si="2"/>
        <v>0</v>
      </c>
      <c r="Q30" s="7"/>
    </row>
    <row r="31" spans="1:17" x14ac:dyDescent="0.2">
      <c r="A31" s="6"/>
      <c r="C31" s="305" t="s">
        <v>426</v>
      </c>
      <c r="D31" s="290">
        <v>0</v>
      </c>
      <c r="E31" s="290">
        <f>(Projections!$D$41*(Projections!F41/100))*-1</f>
        <v>0</v>
      </c>
      <c r="F31" s="290">
        <f>(Projections!$D$41*(Projections!G41/100))*-1</f>
        <v>0</v>
      </c>
      <c r="G31" s="290">
        <f>(Projections!$D$41*(Projections!H41/100))*-1</f>
        <v>0</v>
      </c>
      <c r="H31" s="290">
        <f>(Projections!$D$41*(Projections!I41/100))*-1</f>
        <v>0</v>
      </c>
      <c r="I31" s="290">
        <f>(Projections!$D$41*(Projections!J41/100))*-1</f>
        <v>0</v>
      </c>
      <c r="J31" s="290">
        <f>(Projections!$D$41*(Projections!K41/100))*-1</f>
        <v>0</v>
      </c>
      <c r="K31" s="290">
        <f>(Projections!$D$41*(Projections!L41/100))*-1</f>
        <v>0</v>
      </c>
      <c r="L31" s="290">
        <f>(Projections!$D$41*(Projections!M41/100))*-1</f>
        <v>0</v>
      </c>
      <c r="M31" s="290">
        <f>(Projections!$D$41*(Projections!N41/100))*-1</f>
        <v>0</v>
      </c>
      <c r="N31" s="290">
        <f>(Projections!$D$41*(Projections!O41/100))*-1</f>
        <v>0</v>
      </c>
      <c r="O31" s="290">
        <f>(Projections!$D$41*(Projections!P41/100))*-1</f>
        <v>0</v>
      </c>
      <c r="P31" s="290">
        <f t="shared" si="2"/>
        <v>0</v>
      </c>
      <c r="Q31" s="7"/>
    </row>
    <row r="32" spans="1:17" x14ac:dyDescent="0.2">
      <c r="A32" s="6"/>
      <c r="C32" s="306" t="s">
        <v>466</v>
      </c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>
        <f t="shared" si="2"/>
        <v>0</v>
      </c>
      <c r="Q32" s="7"/>
    </row>
    <row r="33" spans="1:17" x14ac:dyDescent="0.2">
      <c r="A33" s="6"/>
      <c r="C33" s="306" t="s">
        <v>467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>
        <f t="shared" si="2"/>
        <v>0</v>
      </c>
      <c r="Q33" s="7"/>
    </row>
    <row r="34" spans="1:17" x14ac:dyDescent="0.2">
      <c r="A34" s="6"/>
      <c r="C34" s="306" t="s">
        <v>468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>
        <f t="shared" si="2"/>
        <v>0</v>
      </c>
      <c r="Q34" s="7"/>
    </row>
    <row r="35" spans="1:17" x14ac:dyDescent="0.2">
      <c r="A35" s="6"/>
      <c r="C35" s="303" t="s">
        <v>428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>
        <f t="shared" si="2"/>
        <v>0</v>
      </c>
      <c r="Q35" s="7"/>
    </row>
    <row r="36" spans="1:17" x14ac:dyDescent="0.2">
      <c r="A36" s="6"/>
      <c r="C36" s="299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7"/>
    </row>
    <row r="37" spans="1:17" x14ac:dyDescent="0.2">
      <c r="A37" s="6"/>
      <c r="C37" s="298" t="s">
        <v>469</v>
      </c>
      <c r="D37" s="312">
        <f>SUM(D38:D49)</f>
        <v>-60352</v>
      </c>
      <c r="E37" s="312">
        <f>SUM(E38:E49)</f>
        <v>-60352</v>
      </c>
      <c r="F37" s="312">
        <f>SUM(F38:F49)</f>
        <v>-60352</v>
      </c>
      <c r="G37" s="312">
        <f t="shared" ref="G37:O37" si="3">SUM(G38:G49)</f>
        <v>-60352</v>
      </c>
      <c r="H37" s="312">
        <f t="shared" si="3"/>
        <v>-60352</v>
      </c>
      <c r="I37" s="312">
        <f t="shared" si="3"/>
        <v>-95352</v>
      </c>
      <c r="J37" s="312">
        <f t="shared" si="3"/>
        <v>-60352</v>
      </c>
      <c r="K37" s="312">
        <f t="shared" si="3"/>
        <v>-60352</v>
      </c>
      <c r="L37" s="312">
        <f t="shared" si="3"/>
        <v>-60352</v>
      </c>
      <c r="M37" s="312">
        <f t="shared" si="3"/>
        <v>-60352</v>
      </c>
      <c r="N37" s="312">
        <f t="shared" si="3"/>
        <v>-60352</v>
      </c>
      <c r="O37" s="312">
        <f t="shared" si="3"/>
        <v>-95352</v>
      </c>
      <c r="P37" s="315">
        <f t="shared" si="2"/>
        <v>-794224</v>
      </c>
      <c r="Q37" s="7"/>
    </row>
    <row r="38" spans="1:17" x14ac:dyDescent="0.2">
      <c r="A38" s="6"/>
      <c r="C38" s="304" t="s">
        <v>430</v>
      </c>
      <c r="D38" s="301">
        <f>(Projections!$D49*(Projections!E49/100))*-1</f>
        <v>0</v>
      </c>
      <c r="E38" s="301">
        <f>(Projections!$D49*(Projections!F49/100))*-1</f>
        <v>0</v>
      </c>
      <c r="F38" s="301">
        <f>(Projections!$D49*(Projections!G49/100))*-1</f>
        <v>0</v>
      </c>
      <c r="G38" s="301">
        <f>(Projections!$D49*(Projections!H49/100))*-1</f>
        <v>0</v>
      </c>
      <c r="H38" s="301">
        <f>(Projections!$D49*(Projections!I49/100))*-1</f>
        <v>0</v>
      </c>
      <c r="I38" s="301">
        <f>(Projections!$D49*(Projections!J49/100))*-1</f>
        <v>-20000</v>
      </c>
      <c r="J38" s="301">
        <f>(Projections!$D49*(Projections!K49/100))*-1</f>
        <v>0</v>
      </c>
      <c r="K38" s="301">
        <f>(Projections!$D49*(Projections!L49/100))*-1</f>
        <v>0</v>
      </c>
      <c r="L38" s="301">
        <f>(Projections!$D49*(Projections!M49/100))*-1</f>
        <v>0</v>
      </c>
      <c r="M38" s="301">
        <f>(Projections!$D49*(Projections!N49/100))*-1</f>
        <v>0</v>
      </c>
      <c r="N38" s="301">
        <f>(Projections!$D49*(Projections!O49/100))*-1</f>
        <v>0</v>
      </c>
      <c r="O38" s="301">
        <f>(Projections!$D49*(Projections!P49/100))*-1</f>
        <v>-20000</v>
      </c>
      <c r="P38" s="290">
        <f t="shared" si="2"/>
        <v>-40000</v>
      </c>
      <c r="Q38" s="7"/>
    </row>
    <row r="39" spans="1:17" x14ac:dyDescent="0.2">
      <c r="A39" s="6"/>
      <c r="C39" s="305" t="s">
        <v>431</v>
      </c>
      <c r="D39" s="290">
        <f>(Projections!$D50*(Projections!E50/100))*-1</f>
        <v>0</v>
      </c>
      <c r="E39" s="290">
        <f>(Projections!$D50*(Projections!F50/100))*-1</f>
        <v>0</v>
      </c>
      <c r="F39" s="290">
        <f>(Projections!$D50*(Projections!G50/100))*-1</f>
        <v>0</v>
      </c>
      <c r="G39" s="290">
        <f>(Projections!$D50*(Projections!H50/100))*-1</f>
        <v>0</v>
      </c>
      <c r="H39" s="290">
        <f>(Projections!$D50*(Projections!I50/100))*-1</f>
        <v>0</v>
      </c>
      <c r="I39" s="290">
        <f>(Projections!$D50*(Projections!J50/100))*-1</f>
        <v>-15000</v>
      </c>
      <c r="J39" s="290">
        <f>(Projections!$D50*(Projections!K50/100))*-1</f>
        <v>0</v>
      </c>
      <c r="K39" s="290">
        <f>(Projections!$D50*(Projections!L50/100))*-1</f>
        <v>0</v>
      </c>
      <c r="L39" s="290">
        <f>(Projections!$D50*(Projections!M50/100))*-1</f>
        <v>0</v>
      </c>
      <c r="M39" s="290">
        <f>(Projections!$D50*(Projections!N50/100))*-1</f>
        <v>0</v>
      </c>
      <c r="N39" s="290">
        <f>(Projections!$D50*(Projections!O50/100))*-1</f>
        <v>0</v>
      </c>
      <c r="O39" s="290">
        <f>(Projections!$D50*(Projections!P50/100))*-1</f>
        <v>-15000</v>
      </c>
      <c r="P39" s="290">
        <f t="shared" si="2"/>
        <v>-30000</v>
      </c>
      <c r="Q39" s="7"/>
    </row>
    <row r="40" spans="1:17" x14ac:dyDescent="0.2">
      <c r="A40" s="6"/>
      <c r="C40" s="306" t="s">
        <v>185</v>
      </c>
      <c r="D40" s="290">
        <f>(Projections!$D51*(Projections!E51/100))*-1</f>
        <v>-7680</v>
      </c>
      <c r="E40" s="290">
        <f>(Projections!$D51*(Projections!F51/100))*-1</f>
        <v>-7680</v>
      </c>
      <c r="F40" s="290">
        <f>(Projections!$D51*(Projections!G51/100))*-1</f>
        <v>-7680</v>
      </c>
      <c r="G40" s="290">
        <f>(Projections!$D51*(Projections!H51/100))*-1</f>
        <v>-7680</v>
      </c>
      <c r="H40" s="290">
        <f>(Projections!$D51*(Projections!I51/100))*-1</f>
        <v>-7680</v>
      </c>
      <c r="I40" s="290">
        <f>(Projections!$D51*(Projections!J51/100))*-1</f>
        <v>-7680</v>
      </c>
      <c r="J40" s="290">
        <f>(Projections!$D51*(Projections!K51/100))*-1</f>
        <v>-7680</v>
      </c>
      <c r="K40" s="290">
        <f>(Projections!$D51*(Projections!L51/100))*-1</f>
        <v>-7680</v>
      </c>
      <c r="L40" s="290">
        <f>(Projections!$D51*(Projections!M51/100))*-1</f>
        <v>-7680</v>
      </c>
      <c r="M40" s="290">
        <f>(Projections!$D51*(Projections!N51/100))*-1</f>
        <v>-7680</v>
      </c>
      <c r="N40" s="290">
        <f>(Projections!$D51*(Projections!O51/100))*-1</f>
        <v>-7680</v>
      </c>
      <c r="O40" s="290">
        <f>(Projections!$D51*(Projections!P51/100))*-1</f>
        <v>-7680</v>
      </c>
      <c r="P40" s="290">
        <f t="shared" si="2"/>
        <v>-92160</v>
      </c>
      <c r="Q40" s="7"/>
    </row>
    <row r="41" spans="1:17" x14ac:dyDescent="0.2">
      <c r="A41" s="6"/>
      <c r="C41" s="306" t="s">
        <v>186</v>
      </c>
      <c r="D41" s="290">
        <f>(Projections!$D$52*(Projections!E52/100))*-1</f>
        <v>-640</v>
      </c>
      <c r="E41" s="290">
        <f>(Projections!$D$52*(Projections!F52/100))*-1</f>
        <v>-640</v>
      </c>
      <c r="F41" s="290">
        <f>(Projections!$D$52*(Projections!G52/100))*-1</f>
        <v>-640</v>
      </c>
      <c r="G41" s="290">
        <f>(Projections!$D$52*(Projections!H52/100))*-1</f>
        <v>-640</v>
      </c>
      <c r="H41" s="290">
        <f>(Projections!$D$52*(Projections!I52/100))*-1</f>
        <v>-640</v>
      </c>
      <c r="I41" s="290">
        <f>(Projections!$D$52*(Projections!J52/100))*-1</f>
        <v>-640</v>
      </c>
      <c r="J41" s="290">
        <f>(Projections!$D$52*(Projections!K52/100))*-1</f>
        <v>-640</v>
      </c>
      <c r="K41" s="290">
        <f>(Projections!$D$52*(Projections!L52/100))*-1</f>
        <v>-640</v>
      </c>
      <c r="L41" s="290">
        <f>(Projections!$D$52*(Projections!M52/100))*-1</f>
        <v>-640</v>
      </c>
      <c r="M41" s="290">
        <f>(Projections!$D$52*(Projections!N52/100))*-1</f>
        <v>-640</v>
      </c>
      <c r="N41" s="290">
        <f>(Projections!$D$52*(Projections!O52/100))*-1</f>
        <v>-640</v>
      </c>
      <c r="O41" s="290">
        <f>(Projections!$D$52*(Projections!P52/100))*-1</f>
        <v>-640</v>
      </c>
      <c r="P41" s="290">
        <f t="shared" si="2"/>
        <v>-7680</v>
      </c>
      <c r="Q41" s="7"/>
    </row>
    <row r="42" spans="1:17" x14ac:dyDescent="0.2">
      <c r="A42" s="6"/>
      <c r="C42" s="306" t="s">
        <v>187</v>
      </c>
      <c r="D42" s="290">
        <f>(Projections!$D$53*(Projections!E53/100))*-1</f>
        <v>-960</v>
      </c>
      <c r="E42" s="290">
        <f>(Projections!$D$53*(Projections!F53/100))*-1</f>
        <v>-960</v>
      </c>
      <c r="F42" s="290">
        <f>(Projections!$D$53*(Projections!G53/100))*-1</f>
        <v>-960</v>
      </c>
      <c r="G42" s="290">
        <f>(Projections!$D$53*(Projections!H53/100))*-1</f>
        <v>-960</v>
      </c>
      <c r="H42" s="290">
        <f>(Projections!$D$53*(Projections!I53/100))*-1</f>
        <v>-960</v>
      </c>
      <c r="I42" s="290">
        <f>(Projections!$D$53*(Projections!J53/100))*-1</f>
        <v>-960</v>
      </c>
      <c r="J42" s="290">
        <f>(Projections!$D$53*(Projections!K53/100))*-1</f>
        <v>-960</v>
      </c>
      <c r="K42" s="290">
        <f>(Projections!$D$53*(Projections!L53/100))*-1</f>
        <v>-960</v>
      </c>
      <c r="L42" s="290">
        <f>(Projections!$D$53*(Projections!M53/100))*-1</f>
        <v>-960</v>
      </c>
      <c r="M42" s="290">
        <f>(Projections!$D$53*(Projections!N53/100))*-1</f>
        <v>-960</v>
      </c>
      <c r="N42" s="290">
        <f>(Projections!$D$53*(Projections!O53/100))*-1</f>
        <v>-960</v>
      </c>
      <c r="O42" s="290">
        <f>(Projections!$D$53*(Projections!P53/100))*-1</f>
        <v>-960</v>
      </c>
      <c r="P42" s="290">
        <f t="shared" si="2"/>
        <v>-11520</v>
      </c>
      <c r="Q42" s="7"/>
    </row>
    <row r="43" spans="1:17" x14ac:dyDescent="0.2">
      <c r="A43" s="6"/>
      <c r="C43" s="306" t="s">
        <v>191</v>
      </c>
      <c r="D43" s="290">
        <f>(Projections!$D$54*(Projections!E54/100))*-1</f>
        <v>-1152</v>
      </c>
      <c r="E43" s="290">
        <f>(Projections!$D$54*(Projections!F54/100))*-1</f>
        <v>-1152</v>
      </c>
      <c r="F43" s="290">
        <f>(Projections!$D$54*(Projections!G54/100))*-1</f>
        <v>-1152</v>
      </c>
      <c r="G43" s="290">
        <f>(Projections!$D$54*(Projections!H54/100))*-1</f>
        <v>-1152</v>
      </c>
      <c r="H43" s="290">
        <f>(Projections!$D$54*(Projections!I54/100))*-1</f>
        <v>-1152</v>
      </c>
      <c r="I43" s="290">
        <f>(Projections!$D$54*(Projections!J54/100))*-1</f>
        <v>-1152</v>
      </c>
      <c r="J43" s="290">
        <f>(Projections!$D$54*(Projections!K54/100))*-1</f>
        <v>-1152</v>
      </c>
      <c r="K43" s="290">
        <f>(Projections!$D$54*(Projections!L54/100))*-1</f>
        <v>-1152</v>
      </c>
      <c r="L43" s="290">
        <f>(Projections!$D$54*(Projections!M54/100))*-1</f>
        <v>-1152</v>
      </c>
      <c r="M43" s="290">
        <f>(Projections!$D$54*(Projections!N54/100))*-1</f>
        <v>-1152</v>
      </c>
      <c r="N43" s="290">
        <f>(Projections!$D$54*(Projections!O54/100))*-1</f>
        <v>-1152</v>
      </c>
      <c r="O43" s="290">
        <f>(Projections!$D$54*(Projections!P54/100))*-1</f>
        <v>-1152</v>
      </c>
      <c r="P43" s="290">
        <f t="shared" si="2"/>
        <v>-13824</v>
      </c>
      <c r="Q43" s="7"/>
    </row>
    <row r="44" spans="1:17" x14ac:dyDescent="0.2">
      <c r="A44" s="6"/>
      <c r="C44" s="306" t="s">
        <v>193</v>
      </c>
      <c r="D44" s="290">
        <f>(Projections!$D$55*(Projections!E55/100))*-1</f>
        <v>0</v>
      </c>
      <c r="E44" s="290">
        <f>(Projections!$D$55*(Projections!F55/100))*-1</f>
        <v>0</v>
      </c>
      <c r="F44" s="290">
        <f>(Projections!$D$55*(Projections!G55/100))*-1</f>
        <v>0</v>
      </c>
      <c r="G44" s="290">
        <f>(Projections!$D$55*(Projections!H55/100))*-1</f>
        <v>0</v>
      </c>
      <c r="H44" s="290">
        <f>(Projections!$D$55*(Projections!I55/100))*-1</f>
        <v>0</v>
      </c>
      <c r="I44" s="290">
        <f>(Projections!$D$55*(Projections!J55/100))*-1</f>
        <v>0</v>
      </c>
      <c r="J44" s="290">
        <f>(Projections!$D$55*(Projections!K55/100))*-1</f>
        <v>0</v>
      </c>
      <c r="K44" s="290">
        <f>(Projections!$D$55*(Projections!L55/100))*-1</f>
        <v>0</v>
      </c>
      <c r="L44" s="290">
        <f>(Projections!$D$55*(Projections!M55/100))*-1</f>
        <v>0</v>
      </c>
      <c r="M44" s="290">
        <f>(Projections!$D$55*(Projections!N55/100))*-1</f>
        <v>0</v>
      </c>
      <c r="N44" s="290">
        <f>(Projections!$D$55*(Projections!O55/100))*-1</f>
        <v>0</v>
      </c>
      <c r="O44" s="290">
        <f>(Projections!$D$55*(Projections!P55/100))*-1</f>
        <v>0</v>
      </c>
      <c r="P44" s="290">
        <f t="shared" si="2"/>
        <v>0</v>
      </c>
      <c r="Q44" s="7"/>
    </row>
    <row r="45" spans="1:17" x14ac:dyDescent="0.2">
      <c r="A45" s="6"/>
      <c r="C45" s="306" t="s">
        <v>188</v>
      </c>
      <c r="D45" s="290">
        <f>(Projections!$D$56*(Projections!E56/100))*-1</f>
        <v>-28800</v>
      </c>
      <c r="E45" s="290">
        <f>(Projections!$D$56*(Projections!F56/100))*-1</f>
        <v>-28800</v>
      </c>
      <c r="F45" s="290">
        <f>(Projections!$D$56*(Projections!G56/100))*-1</f>
        <v>-28800</v>
      </c>
      <c r="G45" s="290">
        <f>(Projections!$D$56*(Projections!H56/100))*-1</f>
        <v>-28800</v>
      </c>
      <c r="H45" s="290">
        <f>(Projections!$D$56*(Projections!I56/100))*-1</f>
        <v>-28800</v>
      </c>
      <c r="I45" s="290">
        <f>(Projections!$D$56*(Projections!J56/100))*-1</f>
        <v>-28800</v>
      </c>
      <c r="J45" s="290">
        <f>(Projections!$D$56*(Projections!K56/100))*-1</f>
        <v>-28800</v>
      </c>
      <c r="K45" s="290">
        <f>(Projections!$D$56*(Projections!L56/100))*-1</f>
        <v>-28800</v>
      </c>
      <c r="L45" s="290">
        <f>(Projections!$D$56*(Projections!M56/100))*-1</f>
        <v>-28800</v>
      </c>
      <c r="M45" s="290">
        <f>(Projections!$D$56*(Projections!N56/100))*-1</f>
        <v>-28800</v>
      </c>
      <c r="N45" s="290">
        <f>(Projections!$D$56*(Projections!O56/100))*-1</f>
        <v>-28800</v>
      </c>
      <c r="O45" s="290">
        <f>(Projections!$D$56*(Projections!P56/100))*-1</f>
        <v>-28800</v>
      </c>
      <c r="P45" s="290">
        <f t="shared" si="2"/>
        <v>-345600</v>
      </c>
      <c r="Q45" s="7"/>
    </row>
    <row r="46" spans="1:17" x14ac:dyDescent="0.2">
      <c r="A46" s="6"/>
      <c r="C46" s="306" t="s">
        <v>189</v>
      </c>
      <c r="D46" s="290">
        <f>(Projections!$D$57*(Projections!E57/100))*-1</f>
        <v>-2400</v>
      </c>
      <c r="E46" s="290">
        <f>(Projections!$D$57*(Projections!F57/100))*-1</f>
        <v>-2400</v>
      </c>
      <c r="F46" s="290">
        <f>(Projections!$D$57*(Projections!G57/100))*-1</f>
        <v>-2400</v>
      </c>
      <c r="G46" s="290">
        <f>(Projections!$D$57*(Projections!H57/100))*-1</f>
        <v>-2400</v>
      </c>
      <c r="H46" s="290">
        <f>(Projections!$D$57*(Projections!I57/100))*-1</f>
        <v>-2400</v>
      </c>
      <c r="I46" s="290">
        <f>(Projections!$D$57*(Projections!J57/100))*-1</f>
        <v>-2400</v>
      </c>
      <c r="J46" s="290">
        <f>(Projections!$D$57*(Projections!K57/100))*-1</f>
        <v>-2400</v>
      </c>
      <c r="K46" s="290">
        <f>(Projections!$D$57*(Projections!L57/100))*-1</f>
        <v>-2400</v>
      </c>
      <c r="L46" s="290">
        <f>(Projections!$D$57*(Projections!M57/100))*-1</f>
        <v>-2400</v>
      </c>
      <c r="M46" s="290">
        <f>(Projections!$D$57*(Projections!N57/100))*-1</f>
        <v>-2400</v>
      </c>
      <c r="N46" s="290">
        <f>(Projections!$D$57*(Projections!O57/100))*-1</f>
        <v>-2400</v>
      </c>
      <c r="O46" s="290">
        <f>(Projections!$D$57*(Projections!P57/100))*-1</f>
        <v>-2400</v>
      </c>
      <c r="P46" s="290">
        <f t="shared" si="2"/>
        <v>-28800</v>
      </c>
      <c r="Q46" s="7"/>
    </row>
    <row r="47" spans="1:17" x14ac:dyDescent="0.2">
      <c r="A47" s="6"/>
      <c r="C47" s="306" t="s">
        <v>190</v>
      </c>
      <c r="D47" s="290">
        <f>(Projections!$D$58*(Projections!E58/100))*-1</f>
        <v>-11520</v>
      </c>
      <c r="E47" s="290">
        <f>(Projections!$D$58*(Projections!F58/100))*-1</f>
        <v>-11520</v>
      </c>
      <c r="F47" s="290">
        <f>(Projections!$D$58*(Projections!G58/100))*-1</f>
        <v>-11520</v>
      </c>
      <c r="G47" s="290">
        <f>(Projections!$D$58*(Projections!H58/100))*-1</f>
        <v>-11520</v>
      </c>
      <c r="H47" s="290">
        <f>(Projections!$D$58*(Projections!I58/100))*-1</f>
        <v>-11520</v>
      </c>
      <c r="I47" s="290">
        <f>(Projections!$D$58*(Projections!J58/100))*-1</f>
        <v>-11520</v>
      </c>
      <c r="J47" s="290">
        <f>(Projections!$D$58*(Projections!K58/100))*-1</f>
        <v>-11520</v>
      </c>
      <c r="K47" s="290">
        <f>(Projections!$D$58*(Projections!L58/100))*-1</f>
        <v>-11520</v>
      </c>
      <c r="L47" s="290">
        <f>(Projections!$D$58*(Projections!M58/100))*-1</f>
        <v>-11520</v>
      </c>
      <c r="M47" s="290">
        <f>(Projections!$D$58*(Projections!N58/100))*-1</f>
        <v>-11520</v>
      </c>
      <c r="N47" s="290">
        <f>(Projections!$D$58*(Projections!O58/100))*-1</f>
        <v>-11520</v>
      </c>
      <c r="O47" s="290">
        <f>(Projections!$D$58*(Projections!P58/100))*-1</f>
        <v>-11520</v>
      </c>
      <c r="P47" s="290">
        <f t="shared" si="2"/>
        <v>-138240</v>
      </c>
      <c r="Q47" s="7"/>
    </row>
    <row r="48" spans="1:17" x14ac:dyDescent="0.2">
      <c r="A48" s="6"/>
      <c r="C48" s="306" t="s">
        <v>192</v>
      </c>
      <c r="D48" s="290">
        <f>(Projections!$D$59*(Projections!E59/100))*-1</f>
        <v>-7200</v>
      </c>
      <c r="E48" s="290">
        <f>(Projections!$D$59*(Projections!F59/100))*-1</f>
        <v>-7200</v>
      </c>
      <c r="F48" s="290">
        <f>(Projections!$D$59*(Projections!G59/100))*-1</f>
        <v>-7200</v>
      </c>
      <c r="G48" s="290">
        <f>(Projections!$D$59*(Projections!H59/100))*-1</f>
        <v>-7200</v>
      </c>
      <c r="H48" s="290">
        <f>(Projections!$D$59*(Projections!I59/100))*-1</f>
        <v>-7200</v>
      </c>
      <c r="I48" s="290">
        <f>(Projections!$D$59*(Projections!J59/100))*-1</f>
        <v>-7200</v>
      </c>
      <c r="J48" s="290">
        <f>(Projections!$D$59*(Projections!K59/100))*-1</f>
        <v>-7200</v>
      </c>
      <c r="K48" s="290">
        <f>(Projections!$D$59*(Projections!L59/100))*-1</f>
        <v>-7200</v>
      </c>
      <c r="L48" s="290">
        <f>(Projections!$D$59*(Projections!M59/100))*-1</f>
        <v>-7200</v>
      </c>
      <c r="M48" s="290">
        <f>(Projections!$D$59*(Projections!N59/100))*-1</f>
        <v>-7200</v>
      </c>
      <c r="N48" s="290">
        <f>(Projections!$D$59*(Projections!O59/100))*-1</f>
        <v>-7200</v>
      </c>
      <c r="O48" s="290">
        <f>(Projections!$D$59*(Projections!P59/100))*-1</f>
        <v>-7200</v>
      </c>
      <c r="P48" s="290">
        <f t="shared" si="2"/>
        <v>-86400</v>
      </c>
      <c r="Q48" s="7"/>
    </row>
    <row r="49" spans="1:17" x14ac:dyDescent="0.2">
      <c r="A49" s="6"/>
      <c r="C49" s="303" t="s">
        <v>194</v>
      </c>
      <c r="D49" s="291">
        <f>(Projections!$D$60*(Projections!E60/100))*-1</f>
        <v>0</v>
      </c>
      <c r="E49" s="291">
        <f>(Projections!$D$60*(Projections!F60/100))*-1</f>
        <v>0</v>
      </c>
      <c r="F49" s="291">
        <f>(Projections!$D$60*(Projections!G60/100))*-1</f>
        <v>0</v>
      </c>
      <c r="G49" s="291">
        <f>(Projections!$D$60*(Projections!H60/100))*-1</f>
        <v>0</v>
      </c>
      <c r="H49" s="291">
        <f>(Projections!$D$60*(Projections!I60/100))*-1</f>
        <v>0</v>
      </c>
      <c r="I49" s="291">
        <f>(Projections!$D$60*(Projections!J60/100))*-1</f>
        <v>0</v>
      </c>
      <c r="J49" s="291">
        <f>(Projections!$D$60*(Projections!K60/100))*-1</f>
        <v>0</v>
      </c>
      <c r="K49" s="291">
        <f>(Projections!$D$60*(Projections!L60/100))*-1</f>
        <v>0</v>
      </c>
      <c r="L49" s="291">
        <f>(Projections!$D$60*(Projections!M60/100))*-1</f>
        <v>0</v>
      </c>
      <c r="M49" s="291">
        <f>(Projections!$D$60*(Projections!N60/100))*-1</f>
        <v>0</v>
      </c>
      <c r="N49" s="291">
        <f>(Projections!$D$60*(Projections!O60/100))*-1</f>
        <v>0</v>
      </c>
      <c r="O49" s="291">
        <f>(Projections!$D$60*(Projections!P60/100))*-1</f>
        <v>0</v>
      </c>
      <c r="P49" s="291">
        <f t="shared" si="2"/>
        <v>0</v>
      </c>
      <c r="Q49" s="7"/>
    </row>
    <row r="50" spans="1:17" x14ac:dyDescent="0.2">
      <c r="A50" s="6"/>
      <c r="C50" s="298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7"/>
    </row>
    <row r="51" spans="1:17" x14ac:dyDescent="0.2">
      <c r="A51" s="6"/>
      <c r="C51" s="298" t="s">
        <v>411</v>
      </c>
      <c r="D51" s="312">
        <f>SUM(D52:D53)</f>
        <v>-562.50000000000011</v>
      </c>
      <c r="E51" s="312">
        <f>SUM(E52:E53)</f>
        <v>-146012.5</v>
      </c>
      <c r="F51" s="312">
        <f>SUM(F52:F53)</f>
        <v>-562.50000000000011</v>
      </c>
      <c r="G51" s="312">
        <f t="shared" ref="G51:O51" si="4">SUM(G52:G53)</f>
        <v>-562.50000000000011</v>
      </c>
      <c r="H51" s="312">
        <f t="shared" si="4"/>
        <v>-2362.5</v>
      </c>
      <c r="I51" s="312">
        <f t="shared" si="4"/>
        <v>-144212.5</v>
      </c>
      <c r="J51" s="312">
        <f t="shared" si="4"/>
        <v>-562.50000000000011</v>
      </c>
      <c r="K51" s="312">
        <f t="shared" si="4"/>
        <v>-2362.5</v>
      </c>
      <c r="L51" s="312">
        <f t="shared" si="4"/>
        <v>-562.50000000000011</v>
      </c>
      <c r="M51" s="312">
        <f t="shared" si="4"/>
        <v>-562.50000000000011</v>
      </c>
      <c r="N51" s="312">
        <f t="shared" si="4"/>
        <v>-2362.5</v>
      </c>
      <c r="O51" s="312">
        <f t="shared" si="4"/>
        <v>-562.50000000000011</v>
      </c>
      <c r="P51" s="315">
        <f t="shared" si="2"/>
        <v>-301250</v>
      </c>
      <c r="Q51" s="7"/>
    </row>
    <row r="52" spans="1:17" x14ac:dyDescent="0.2">
      <c r="A52" s="6"/>
      <c r="C52" s="302" t="s">
        <v>470</v>
      </c>
      <c r="D52" s="301">
        <f>(Projections!T2)*-1</f>
        <v>-562.50000000000011</v>
      </c>
      <c r="E52" s="301">
        <f>(Projections!U2)*-1</f>
        <v>-146012.5</v>
      </c>
      <c r="F52" s="301">
        <f>(Projections!V2)*-1</f>
        <v>-562.50000000000011</v>
      </c>
      <c r="G52" s="301">
        <f>(Projections!W2)*-1</f>
        <v>-562.50000000000011</v>
      </c>
      <c r="H52" s="301">
        <f>(Projections!X2)*-1</f>
        <v>-2362.5</v>
      </c>
      <c r="I52" s="301">
        <f>(Projections!Y2)*-1</f>
        <v>-144212.5</v>
      </c>
      <c r="J52" s="301">
        <f>(Projections!Z2)*-1</f>
        <v>-562.50000000000011</v>
      </c>
      <c r="K52" s="301">
        <f>(Projections!AA2)*-1</f>
        <v>-2362.5</v>
      </c>
      <c r="L52" s="301">
        <f>(Projections!AB2)*-1</f>
        <v>-562.50000000000011</v>
      </c>
      <c r="M52" s="301">
        <f>(Projections!AC2)*-1</f>
        <v>-562.50000000000011</v>
      </c>
      <c r="N52" s="301">
        <f>(Projections!AD2)*-1</f>
        <v>-2362.5</v>
      </c>
      <c r="O52" s="301">
        <f>(Projections!AE2)*-1</f>
        <v>-562.50000000000011</v>
      </c>
      <c r="P52" s="290">
        <f t="shared" si="2"/>
        <v>-301250</v>
      </c>
      <c r="Q52" s="7"/>
    </row>
    <row r="53" spans="1:17" x14ac:dyDescent="0.2">
      <c r="A53" s="6"/>
      <c r="C53" s="303" t="s">
        <v>471</v>
      </c>
      <c r="D53" s="291">
        <f>+($D$6*$D$7/100/12)*-1</f>
        <v>0</v>
      </c>
      <c r="E53" s="291">
        <f>+(($D$6+SUM(D62:D62))*$D$7/100/12)*-1</f>
        <v>0</v>
      </c>
      <c r="F53" s="291">
        <f>+(($D$6+SUM(D62:E62))*$D$7/100/12)*-1</f>
        <v>0</v>
      </c>
      <c r="G53" s="291">
        <f>+(($D$6+SUM(D62:F62))*$D$7/100/12)*-1</f>
        <v>0</v>
      </c>
      <c r="H53" s="291">
        <f>+(($D$6+SUM(D62:G62))*$D$7/100/12)*-1</f>
        <v>0</v>
      </c>
      <c r="I53" s="291">
        <f>+(($D$6+SUM(D62:H62))*$D$7/100/12)*-1</f>
        <v>0</v>
      </c>
      <c r="J53" s="291">
        <f>+(($D$6+SUM(D62:I62))*$D$7/100/12)*-1</f>
        <v>0</v>
      </c>
      <c r="K53" s="291">
        <f>+(($D$6+SUM(D62:J62))*$D$7/100/12)*-1</f>
        <v>0</v>
      </c>
      <c r="L53" s="291">
        <f>+(($D$6+SUM(D62:K62))*$D$7/100/12)*-1</f>
        <v>0</v>
      </c>
      <c r="M53" s="291">
        <f>+(($D$6+SUM(D62:L62))*$D$7/100/12)*-1</f>
        <v>0</v>
      </c>
      <c r="N53" s="291">
        <f>+(($D$6+SUM(D62:M62))*$D$7/100/12)*-1</f>
        <v>0</v>
      </c>
      <c r="O53" s="291">
        <f>+(($D$6+SUM(D62:N62))*$D$7/100/12)*-1</f>
        <v>0</v>
      </c>
      <c r="P53" s="291">
        <f t="shared" si="2"/>
        <v>0</v>
      </c>
      <c r="Q53" s="7"/>
    </row>
    <row r="54" spans="1:17" x14ac:dyDescent="0.2">
      <c r="A54" s="6"/>
      <c r="C54" s="298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7"/>
    </row>
    <row r="55" spans="1:17" x14ac:dyDescent="0.2">
      <c r="A55" s="6"/>
      <c r="P55" s="310"/>
      <c r="Q55" s="7"/>
    </row>
    <row r="56" spans="1:17" x14ac:dyDescent="0.2">
      <c r="A56" s="6"/>
      <c r="C56" s="66" t="s">
        <v>472</v>
      </c>
      <c r="D56" s="292">
        <f>(D51+D37)</f>
        <v>-60914.5</v>
      </c>
      <c r="E56" s="292">
        <f t="shared" ref="E56:O56" si="5">(E51+E37)</f>
        <v>-206364.5</v>
      </c>
      <c r="F56" s="292">
        <f t="shared" si="5"/>
        <v>-60914.5</v>
      </c>
      <c r="G56" s="292">
        <f t="shared" si="5"/>
        <v>-60914.5</v>
      </c>
      <c r="H56" s="292">
        <f t="shared" si="5"/>
        <v>-62714.5</v>
      </c>
      <c r="I56" s="292">
        <f t="shared" si="5"/>
        <v>-239564.5</v>
      </c>
      <c r="J56" s="292">
        <f t="shared" si="5"/>
        <v>-60914.5</v>
      </c>
      <c r="K56" s="292">
        <f t="shared" si="5"/>
        <v>-62714.5</v>
      </c>
      <c r="L56" s="292">
        <f t="shared" si="5"/>
        <v>-60914.5</v>
      </c>
      <c r="M56" s="292">
        <f t="shared" si="5"/>
        <v>-60914.5</v>
      </c>
      <c r="N56" s="292">
        <f t="shared" si="5"/>
        <v>-62714.5</v>
      </c>
      <c r="O56" s="292">
        <f t="shared" si="5"/>
        <v>-95914.5</v>
      </c>
      <c r="P56" s="291">
        <f t="shared" si="2"/>
        <v>-1095474</v>
      </c>
      <c r="Q56" s="7"/>
    </row>
    <row r="57" spans="1:17" x14ac:dyDescent="0.2">
      <c r="A57" s="6"/>
      <c r="C57" s="66" t="s">
        <v>474</v>
      </c>
      <c r="D57" s="292">
        <f>(D14+D56)</f>
        <v>59685.5</v>
      </c>
      <c r="E57" s="292">
        <f>(E14+E56)</f>
        <v>-105864.5</v>
      </c>
      <c r="F57" s="292">
        <f>(F14+F56)</f>
        <v>39585.5</v>
      </c>
      <c r="G57" s="292">
        <f t="shared" ref="G57:O57" si="6">(G14+G56)</f>
        <v>39585.5</v>
      </c>
      <c r="H57" s="292">
        <f t="shared" si="6"/>
        <v>238785.5</v>
      </c>
      <c r="I57" s="292">
        <f t="shared" si="6"/>
        <v>61935.5</v>
      </c>
      <c r="J57" s="292">
        <f t="shared" si="6"/>
        <v>240585.5</v>
      </c>
      <c r="K57" s="292">
        <f t="shared" si="6"/>
        <v>238785.5</v>
      </c>
      <c r="L57" s="292">
        <f t="shared" si="6"/>
        <v>39585.5</v>
      </c>
      <c r="M57" s="292">
        <f t="shared" si="6"/>
        <v>39585.5</v>
      </c>
      <c r="N57" s="292">
        <f t="shared" si="6"/>
        <v>37785.5</v>
      </c>
      <c r="O57" s="292">
        <f t="shared" si="6"/>
        <v>4585.5</v>
      </c>
      <c r="P57" s="292">
        <f t="shared" si="2"/>
        <v>934626</v>
      </c>
      <c r="Q57" s="7"/>
    </row>
    <row r="58" spans="1:17" x14ac:dyDescent="0.2">
      <c r="A58" s="6"/>
      <c r="C58" s="66" t="s">
        <v>480</v>
      </c>
      <c r="D58" s="292"/>
      <c r="E58" s="292"/>
      <c r="F58" s="292"/>
      <c r="G58" s="292"/>
      <c r="H58" s="292"/>
      <c r="I58" s="292">
        <f>(SUM($P$20:$P$31)*0.5*0.5)+(SUM('Cash Flow - Year 6'!$P$20:$P$31)*0.3*0.5)+(SUM('Cash Flow - Year 5'!$P$20:$P$31)*0.2*0.5)</f>
        <v>0</v>
      </c>
      <c r="J58" s="292"/>
      <c r="K58" s="292"/>
      <c r="L58" s="292"/>
      <c r="M58" s="292"/>
      <c r="N58" s="292"/>
      <c r="O58" s="292">
        <f>(SUM($P$20:$P$31)*0.5*0.5)+(SUM('Cash Flow - Year 6'!$P$20:$P$31)*0.3*0.5)+(SUM('Cash Flow - Year 5'!$P$20:$P$31)*0.2*0.5)</f>
        <v>0</v>
      </c>
      <c r="P58" s="292">
        <f t="shared" si="2"/>
        <v>0</v>
      </c>
      <c r="Q58" s="7"/>
    </row>
    <row r="59" spans="1:17" x14ac:dyDescent="0.2">
      <c r="A59" s="6"/>
      <c r="C59" s="66" t="s">
        <v>481</v>
      </c>
      <c r="D59" s="292">
        <f t="shared" ref="D59:O59" si="7">(D57+D58)</f>
        <v>59685.5</v>
      </c>
      <c r="E59" s="292">
        <f t="shared" si="7"/>
        <v>-105864.5</v>
      </c>
      <c r="F59" s="292">
        <f t="shared" si="7"/>
        <v>39585.5</v>
      </c>
      <c r="G59" s="292">
        <f t="shared" si="7"/>
        <v>39585.5</v>
      </c>
      <c r="H59" s="292">
        <f t="shared" si="7"/>
        <v>238785.5</v>
      </c>
      <c r="I59" s="292">
        <f t="shared" si="7"/>
        <v>61935.5</v>
      </c>
      <c r="J59" s="292">
        <f t="shared" si="7"/>
        <v>240585.5</v>
      </c>
      <c r="K59" s="292">
        <f t="shared" si="7"/>
        <v>238785.5</v>
      </c>
      <c r="L59" s="292">
        <f t="shared" si="7"/>
        <v>39585.5</v>
      </c>
      <c r="M59" s="292">
        <f t="shared" si="7"/>
        <v>39585.5</v>
      </c>
      <c r="N59" s="292">
        <f t="shared" si="7"/>
        <v>37785.5</v>
      </c>
      <c r="O59" s="292">
        <f t="shared" si="7"/>
        <v>4585.5</v>
      </c>
      <c r="P59" s="292">
        <f t="shared" si="2"/>
        <v>934626</v>
      </c>
      <c r="Q59" s="7"/>
    </row>
    <row r="60" spans="1:17" x14ac:dyDescent="0.2">
      <c r="A60" s="6"/>
      <c r="C60" s="66" t="s">
        <v>482</v>
      </c>
      <c r="D60" s="292">
        <f>(D59*($D$9/100))*-1</f>
        <v>0</v>
      </c>
      <c r="E60" s="292">
        <f>(E59*($D$9/100))*-1</f>
        <v>0</v>
      </c>
      <c r="F60" s="292">
        <f>(F59*($D$9/100))*-1</f>
        <v>0</v>
      </c>
      <c r="G60" s="292">
        <f t="shared" ref="G60:O60" si="8">(G59*($D$9/100))*-1</f>
        <v>0</v>
      </c>
      <c r="H60" s="292">
        <f t="shared" si="8"/>
        <v>0</v>
      </c>
      <c r="I60" s="292">
        <f t="shared" si="8"/>
        <v>0</v>
      </c>
      <c r="J60" s="292">
        <f t="shared" si="8"/>
        <v>0</v>
      </c>
      <c r="K60" s="292">
        <f t="shared" si="8"/>
        <v>0</v>
      </c>
      <c r="L60" s="292">
        <f t="shared" si="8"/>
        <v>0</v>
      </c>
      <c r="M60" s="292">
        <f t="shared" si="8"/>
        <v>0</v>
      </c>
      <c r="N60" s="292">
        <f t="shared" si="8"/>
        <v>0</v>
      </c>
      <c r="O60" s="292">
        <f t="shared" si="8"/>
        <v>0</v>
      </c>
      <c r="P60" s="292">
        <f t="shared" si="2"/>
        <v>0</v>
      </c>
      <c r="Q60" s="7"/>
    </row>
    <row r="61" spans="1:17" x14ac:dyDescent="0.2">
      <c r="A61" s="6"/>
      <c r="C61" s="66" t="s">
        <v>483</v>
      </c>
      <c r="D61" s="292">
        <f t="shared" ref="D61:O61" si="9">(D59+(D60))</f>
        <v>59685.5</v>
      </c>
      <c r="E61" s="292">
        <f t="shared" si="9"/>
        <v>-105864.5</v>
      </c>
      <c r="F61" s="292">
        <f t="shared" si="9"/>
        <v>39585.5</v>
      </c>
      <c r="G61" s="292">
        <f t="shared" si="9"/>
        <v>39585.5</v>
      </c>
      <c r="H61" s="292">
        <f t="shared" si="9"/>
        <v>238785.5</v>
      </c>
      <c r="I61" s="292">
        <f t="shared" si="9"/>
        <v>61935.5</v>
      </c>
      <c r="J61" s="292">
        <f t="shared" si="9"/>
        <v>240585.5</v>
      </c>
      <c r="K61" s="292">
        <f t="shared" si="9"/>
        <v>238785.5</v>
      </c>
      <c r="L61" s="292">
        <f t="shared" si="9"/>
        <v>39585.5</v>
      </c>
      <c r="M61" s="292">
        <f t="shared" si="9"/>
        <v>39585.5</v>
      </c>
      <c r="N61" s="292">
        <f t="shared" si="9"/>
        <v>37785.5</v>
      </c>
      <c r="O61" s="292">
        <f t="shared" si="9"/>
        <v>4585.5</v>
      </c>
      <c r="P61" s="292">
        <f t="shared" si="2"/>
        <v>934626</v>
      </c>
      <c r="Q61" s="7"/>
    </row>
    <row r="62" spans="1:17" ht="13.5" thickBot="1" x14ac:dyDescent="0.25">
      <c r="A62" s="6"/>
      <c r="C62" s="311" t="s">
        <v>475</v>
      </c>
      <c r="D62" s="301">
        <f>+($D$6/($D$8*12))*-1</f>
        <v>0</v>
      </c>
      <c r="E62" s="301">
        <f>+($D$6/($D$8*12))*-1</f>
        <v>0</v>
      </c>
      <c r="F62" s="301">
        <f>+($D$6/($D$8*12))*-1</f>
        <v>0</v>
      </c>
      <c r="G62" s="301">
        <f t="shared" ref="G62:O62" si="10">+($D$6/($D$8*12))*-1</f>
        <v>0</v>
      </c>
      <c r="H62" s="301">
        <f t="shared" si="10"/>
        <v>0</v>
      </c>
      <c r="I62" s="301">
        <f t="shared" si="10"/>
        <v>0</v>
      </c>
      <c r="J62" s="301">
        <f t="shared" si="10"/>
        <v>0</v>
      </c>
      <c r="K62" s="301">
        <f t="shared" si="10"/>
        <v>0</v>
      </c>
      <c r="L62" s="301">
        <f t="shared" si="10"/>
        <v>0</v>
      </c>
      <c r="M62" s="301">
        <f t="shared" si="10"/>
        <v>0</v>
      </c>
      <c r="N62" s="301">
        <f t="shared" si="10"/>
        <v>0</v>
      </c>
      <c r="O62" s="301">
        <f t="shared" si="10"/>
        <v>0</v>
      </c>
      <c r="P62" s="301">
        <f t="shared" si="2"/>
        <v>0</v>
      </c>
      <c r="Q62" s="7"/>
    </row>
    <row r="63" spans="1:17" ht="13.5" thickBot="1" x14ac:dyDescent="0.25">
      <c r="A63" s="6"/>
      <c r="C63" s="258" t="s">
        <v>484</v>
      </c>
      <c r="D63" s="313">
        <f t="shared" ref="D63:O63" si="11">(D57+D60+D62)</f>
        <v>59685.5</v>
      </c>
      <c r="E63" s="313">
        <f t="shared" si="11"/>
        <v>-105864.5</v>
      </c>
      <c r="F63" s="313">
        <f t="shared" si="11"/>
        <v>39585.5</v>
      </c>
      <c r="G63" s="313">
        <f t="shared" si="11"/>
        <v>39585.5</v>
      </c>
      <c r="H63" s="313">
        <f t="shared" si="11"/>
        <v>238785.5</v>
      </c>
      <c r="I63" s="313">
        <f t="shared" si="11"/>
        <v>61935.5</v>
      </c>
      <c r="J63" s="313">
        <f t="shared" si="11"/>
        <v>240585.5</v>
      </c>
      <c r="K63" s="313">
        <f t="shared" si="11"/>
        <v>238785.5</v>
      </c>
      <c r="L63" s="313">
        <f t="shared" si="11"/>
        <v>39585.5</v>
      </c>
      <c r="M63" s="313">
        <f t="shared" si="11"/>
        <v>39585.5</v>
      </c>
      <c r="N63" s="313">
        <f t="shared" si="11"/>
        <v>37785.5</v>
      </c>
      <c r="O63" s="313">
        <f t="shared" si="11"/>
        <v>4585.5</v>
      </c>
      <c r="P63" s="314">
        <f t="shared" si="2"/>
        <v>934626</v>
      </c>
      <c r="Q63" s="7"/>
    </row>
    <row r="64" spans="1:17" x14ac:dyDescent="0.2">
      <c r="A64" s="6"/>
      <c r="C64" s="265" t="s">
        <v>486</v>
      </c>
      <c r="D64" s="291">
        <f>('Cash Flow - Year 6'!P65)</f>
        <v>2125384.1524564582</v>
      </c>
      <c r="E64" s="291">
        <f>(D65)</f>
        <v>2185069.6524564582</v>
      </c>
      <c r="F64" s="291">
        <f>(E65)</f>
        <v>2079205.1524564582</v>
      </c>
      <c r="G64" s="291">
        <f t="shared" ref="G64:O64" si="12">(F65)</f>
        <v>2118790.6524564582</v>
      </c>
      <c r="H64" s="291">
        <f t="shared" si="12"/>
        <v>2158376.1524564582</v>
      </c>
      <c r="I64" s="291">
        <f t="shared" si="12"/>
        <v>2397161.6524564582</v>
      </c>
      <c r="J64" s="291">
        <f t="shared" si="12"/>
        <v>2459097.1524564582</v>
      </c>
      <c r="K64" s="291">
        <f t="shared" si="12"/>
        <v>2699682.6524564582</v>
      </c>
      <c r="L64" s="291">
        <f t="shared" si="12"/>
        <v>2938468.1524564582</v>
      </c>
      <c r="M64" s="291">
        <f t="shared" si="12"/>
        <v>2978053.6524564582</v>
      </c>
      <c r="N64" s="291">
        <f t="shared" si="12"/>
        <v>3017639.1524564582</v>
      </c>
      <c r="O64" s="291">
        <f t="shared" si="12"/>
        <v>3055424.6524564582</v>
      </c>
      <c r="P64" s="46"/>
      <c r="Q64" s="7"/>
    </row>
    <row r="65" spans="1:17" ht="13.5" thickBot="1" x14ac:dyDescent="0.25">
      <c r="A65" s="6"/>
      <c r="C65" s="317" t="s">
        <v>487</v>
      </c>
      <c r="D65" s="301">
        <f t="shared" ref="D65:O65" si="13">(D63+D64)</f>
        <v>2185069.6524564582</v>
      </c>
      <c r="E65" s="301">
        <f t="shared" si="13"/>
        <v>2079205.1524564582</v>
      </c>
      <c r="F65" s="301">
        <f t="shared" si="13"/>
        <v>2118790.6524564582</v>
      </c>
      <c r="G65" s="301">
        <f t="shared" si="13"/>
        <v>2158376.1524564582</v>
      </c>
      <c r="H65" s="301">
        <f t="shared" si="13"/>
        <v>2397161.6524564582</v>
      </c>
      <c r="I65" s="301">
        <f t="shared" si="13"/>
        <v>2459097.1524564582</v>
      </c>
      <c r="J65" s="301">
        <f t="shared" si="13"/>
        <v>2699682.6524564582</v>
      </c>
      <c r="K65" s="301">
        <f t="shared" si="13"/>
        <v>2938468.1524564582</v>
      </c>
      <c r="L65" s="301">
        <f t="shared" si="13"/>
        <v>2978053.6524564582</v>
      </c>
      <c r="M65" s="301">
        <f t="shared" si="13"/>
        <v>3017639.1524564582</v>
      </c>
      <c r="N65" s="301">
        <f t="shared" si="13"/>
        <v>3055424.6524564582</v>
      </c>
      <c r="O65" s="301">
        <f t="shared" si="13"/>
        <v>3060010.1524564582</v>
      </c>
      <c r="P65" s="301">
        <f>(O65)*1.15</f>
        <v>3519011.6753249266</v>
      </c>
      <c r="Q65" s="7"/>
    </row>
    <row r="66" spans="1:17" x14ac:dyDescent="0.2">
      <c r="A66" s="6"/>
      <c r="C66" s="272" t="s">
        <v>489</v>
      </c>
      <c r="D66" s="318">
        <f>(D60)</f>
        <v>0</v>
      </c>
      <c r="E66" s="318">
        <f>(D66+E60)</f>
        <v>0</v>
      </c>
      <c r="F66" s="318">
        <f t="shared" ref="F66:O66" si="14">(E66+F60)</f>
        <v>0</v>
      </c>
      <c r="G66" s="318">
        <f t="shared" si="14"/>
        <v>0</v>
      </c>
      <c r="H66" s="318">
        <f t="shared" si="14"/>
        <v>0</v>
      </c>
      <c r="I66" s="318">
        <f t="shared" si="14"/>
        <v>0</v>
      </c>
      <c r="J66" s="318">
        <f t="shared" si="14"/>
        <v>0</v>
      </c>
      <c r="K66" s="318">
        <f t="shared" si="14"/>
        <v>0</v>
      </c>
      <c r="L66" s="318">
        <f t="shared" si="14"/>
        <v>0</v>
      </c>
      <c r="M66" s="318">
        <f t="shared" si="14"/>
        <v>0</v>
      </c>
      <c r="N66" s="318">
        <f t="shared" si="14"/>
        <v>0</v>
      </c>
      <c r="O66" s="318">
        <f t="shared" si="14"/>
        <v>0</v>
      </c>
      <c r="P66" s="319">
        <f>(O66)</f>
        <v>0</v>
      </c>
      <c r="Q66" s="7"/>
    </row>
    <row r="67" spans="1:17" ht="13.5" thickBot="1" x14ac:dyDescent="0.25">
      <c r="A67" s="6"/>
      <c r="C67" s="257" t="s">
        <v>488</v>
      </c>
      <c r="D67" s="255"/>
      <c r="E67" s="255"/>
      <c r="F67" s="255"/>
      <c r="G67" s="255"/>
      <c r="H67" s="255"/>
      <c r="I67" s="320">
        <f>(P66/2)</f>
        <v>0</v>
      </c>
      <c r="J67" s="255"/>
      <c r="K67" s="255"/>
      <c r="L67" s="255"/>
      <c r="M67" s="255"/>
      <c r="N67" s="255"/>
      <c r="O67" s="320">
        <f>(O66-I67)</f>
        <v>0</v>
      </c>
      <c r="P67" s="323">
        <f>(O67+I67)</f>
        <v>0</v>
      </c>
      <c r="Q67" s="7"/>
    </row>
    <row r="68" spans="1:17" ht="13.5" thickBot="1" x14ac:dyDescent="0.25">
      <c r="A68" s="26"/>
      <c r="B68" s="27"/>
      <c r="C68" s="27"/>
      <c r="D68" s="31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3"/>
  <sheetViews>
    <sheetView tabSelected="1" workbookViewId="0">
      <selection activeCell="R14" sqref="R14"/>
    </sheetView>
  </sheetViews>
  <sheetFormatPr defaultRowHeight="12.75" x14ac:dyDescent="0.2"/>
  <cols>
    <col min="1" max="1" width="2.140625" customWidth="1"/>
    <col min="2" max="2" width="1.7109375" customWidth="1"/>
    <col min="3" max="3" width="29.7109375" customWidth="1"/>
    <col min="4" max="4" width="9.7109375" customWidth="1"/>
    <col min="5" max="5" width="1.7109375" customWidth="1"/>
    <col min="6" max="6" width="29.7109375" customWidth="1"/>
    <col min="7" max="7" width="10.42578125" customWidth="1"/>
    <col min="8" max="8" width="1.28515625" customWidth="1"/>
  </cols>
  <sheetData>
    <row r="1" spans="1:8" x14ac:dyDescent="0.2">
      <c r="A1" s="21"/>
      <c r="B1" s="22"/>
      <c r="C1" s="22"/>
      <c r="D1" s="22"/>
      <c r="E1" s="22"/>
      <c r="F1" s="22"/>
      <c r="G1" s="22"/>
      <c r="H1" s="23"/>
    </row>
    <row r="2" spans="1:8" x14ac:dyDescent="0.2">
      <c r="A2" s="6"/>
      <c r="B2" s="24" t="s">
        <v>0</v>
      </c>
      <c r="C2" s="25"/>
      <c r="D2" s="25"/>
      <c r="E2" s="25"/>
      <c r="F2" s="25"/>
      <c r="G2" s="25" t="s">
        <v>32</v>
      </c>
      <c r="H2" s="7"/>
    </row>
    <row r="3" spans="1:8" ht="13.5" thickBot="1" x14ac:dyDescent="0.25">
      <c r="A3" s="6"/>
      <c r="B3" s="1"/>
      <c r="H3" s="7"/>
    </row>
    <row r="4" spans="1:8" ht="13.5" thickBot="1" x14ac:dyDescent="0.25">
      <c r="A4" s="6"/>
      <c r="C4" s="19" t="s">
        <v>6</v>
      </c>
      <c r="D4" s="20"/>
      <c r="F4" s="19" t="s">
        <v>7</v>
      </c>
      <c r="G4" s="20"/>
      <c r="H4" s="7"/>
    </row>
    <row r="5" spans="1:8" ht="13.5" thickBot="1" x14ac:dyDescent="0.25">
      <c r="A5" s="6"/>
      <c r="H5" s="7"/>
    </row>
    <row r="6" spans="1:8" ht="13.5" thickBot="1" x14ac:dyDescent="0.25">
      <c r="A6" s="6"/>
      <c r="C6" s="16" t="s">
        <v>1</v>
      </c>
      <c r="D6" s="17" t="s">
        <v>8</v>
      </c>
      <c r="F6" s="16" t="s">
        <v>1</v>
      </c>
      <c r="G6" s="17" t="s">
        <v>8</v>
      </c>
      <c r="H6" s="7"/>
    </row>
    <row r="7" spans="1:8" x14ac:dyDescent="0.2">
      <c r="A7" s="6"/>
      <c r="C7" s="10" t="s">
        <v>2</v>
      </c>
      <c r="D7" s="42"/>
      <c r="F7" s="10" t="s">
        <v>4</v>
      </c>
      <c r="G7" s="382"/>
      <c r="H7" s="7"/>
    </row>
    <row r="8" spans="1:8" ht="13.5" thickBot="1" x14ac:dyDescent="0.25">
      <c r="A8" s="6"/>
      <c r="C8" s="5" t="s">
        <v>11</v>
      </c>
      <c r="D8" s="380">
        <v>220</v>
      </c>
      <c r="F8" s="9" t="s">
        <v>17</v>
      </c>
      <c r="G8" s="381">
        <v>150</v>
      </c>
      <c r="H8" s="7"/>
    </row>
    <row r="9" spans="1:8" x14ac:dyDescent="0.2">
      <c r="A9" s="6"/>
      <c r="C9" s="5" t="s">
        <v>3</v>
      </c>
      <c r="D9" s="380">
        <v>100</v>
      </c>
      <c r="F9" s="12" t="s">
        <v>5</v>
      </c>
      <c r="G9" s="344">
        <f>((D9/D12)-1)+2</f>
        <v>51</v>
      </c>
      <c r="H9" s="7"/>
    </row>
    <row r="10" spans="1:8" x14ac:dyDescent="0.2">
      <c r="A10" s="6"/>
      <c r="C10" s="5" t="s">
        <v>13</v>
      </c>
      <c r="D10" s="380">
        <v>40</v>
      </c>
      <c r="F10" s="13" t="s">
        <v>18</v>
      </c>
      <c r="G10" s="345">
        <f>(D13+((G8/100)*2))</f>
        <v>91</v>
      </c>
      <c r="H10" s="7"/>
    </row>
    <row r="11" spans="1:8" x14ac:dyDescent="0.2">
      <c r="A11" s="6"/>
      <c r="C11" s="5" t="s">
        <v>15</v>
      </c>
      <c r="D11" s="380">
        <v>40</v>
      </c>
      <c r="F11" s="13" t="s">
        <v>19</v>
      </c>
      <c r="G11" s="345">
        <f>(G10)</f>
        <v>91</v>
      </c>
      <c r="H11" s="7"/>
    </row>
    <row r="12" spans="1:8" ht="13.5" thickBot="1" x14ac:dyDescent="0.25">
      <c r="A12" s="6"/>
      <c r="C12" s="9" t="s">
        <v>16</v>
      </c>
      <c r="D12" s="381">
        <v>2</v>
      </c>
      <c r="F12" s="13" t="s">
        <v>20</v>
      </c>
      <c r="G12" s="345">
        <f>(G9*(G8/100))+((D9*(D11/100)))</f>
        <v>116.5</v>
      </c>
      <c r="H12" s="7"/>
    </row>
    <row r="13" spans="1:8" ht="15" thickBot="1" x14ac:dyDescent="0.25">
      <c r="A13" s="6"/>
      <c r="C13" s="12" t="s">
        <v>14</v>
      </c>
      <c r="D13" s="344">
        <f>(D8*(D10/100))</f>
        <v>88</v>
      </c>
      <c r="F13" s="15" t="s">
        <v>10</v>
      </c>
      <c r="G13" s="346">
        <f>(G11*G12)</f>
        <v>10601.5</v>
      </c>
      <c r="H13" s="7"/>
    </row>
    <row r="14" spans="1:8" ht="14.25" x14ac:dyDescent="0.2">
      <c r="A14" s="6"/>
      <c r="C14" s="13" t="s">
        <v>9</v>
      </c>
      <c r="D14" s="345">
        <f>(D8*(D10/100))*(D9*(D11/100))</f>
        <v>3520</v>
      </c>
      <c r="H14" s="7"/>
    </row>
    <row r="15" spans="1:8" ht="13.5" thickBot="1" x14ac:dyDescent="0.25">
      <c r="A15" s="6"/>
      <c r="C15" s="14" t="s">
        <v>12</v>
      </c>
      <c r="D15" s="346">
        <f>(D8*D9)</f>
        <v>22000</v>
      </c>
      <c r="H15" s="7"/>
    </row>
    <row r="16" spans="1:8" ht="13.5" thickBot="1" x14ac:dyDescent="0.25">
      <c r="A16" s="26"/>
      <c r="B16" s="27"/>
      <c r="C16" s="27"/>
      <c r="D16" s="27"/>
      <c r="E16" s="27"/>
      <c r="F16" s="27"/>
      <c r="G16" s="27"/>
      <c r="H16" s="8"/>
    </row>
    <row r="17" spans="2:7" x14ac:dyDescent="0.2">
      <c r="B17" s="1"/>
      <c r="E17" s="1"/>
    </row>
    <row r="19" spans="2:7" x14ac:dyDescent="0.2">
      <c r="C19" s="1"/>
      <c r="D19" s="1"/>
      <c r="F19" s="1"/>
      <c r="G19" s="1"/>
    </row>
    <row r="20" spans="2:7" ht="13.5" thickBot="1" x14ac:dyDescent="0.25"/>
    <row r="21" spans="2:7" ht="13.5" thickBot="1" x14ac:dyDescent="0.25">
      <c r="C21" s="43" t="s">
        <v>278</v>
      </c>
    </row>
    <row r="22" spans="2:7" ht="13.5" thickBot="1" x14ac:dyDescent="0.25"/>
    <row r="23" spans="2:7" x14ac:dyDescent="0.2">
      <c r="C23" s="69" t="s">
        <v>275</v>
      </c>
      <c r="D23" s="383">
        <v>600000</v>
      </c>
      <c r="F23" s="69" t="s">
        <v>280</v>
      </c>
      <c r="G23" s="383"/>
    </row>
    <row r="24" spans="2:7" x14ac:dyDescent="0.2">
      <c r="C24" s="3" t="s">
        <v>274</v>
      </c>
      <c r="D24" s="380">
        <v>10</v>
      </c>
      <c r="F24" s="3" t="s">
        <v>279</v>
      </c>
      <c r="G24" s="380"/>
    </row>
    <row r="25" spans="2:7" ht="13.5" thickBot="1" x14ac:dyDescent="0.25">
      <c r="C25" s="51" t="s">
        <v>276</v>
      </c>
      <c r="D25" s="381">
        <v>1</v>
      </c>
      <c r="F25" s="51" t="s">
        <v>276</v>
      </c>
      <c r="G25" s="381"/>
    </row>
    <row r="26" spans="2:7" ht="13.5" thickBot="1" x14ac:dyDescent="0.25">
      <c r="C26" s="110" t="s">
        <v>277</v>
      </c>
      <c r="D26" s="347">
        <f>(D23/D24)/D25</f>
        <v>60000</v>
      </c>
      <c r="F26" s="110" t="s">
        <v>277</v>
      </c>
      <c r="G26" s="347" t="e">
        <f>(G23/G24)/G25</f>
        <v>#DIV/0!</v>
      </c>
    </row>
    <row r="28" spans="2:7" ht="13.5" thickBot="1" x14ac:dyDescent="0.25"/>
    <row r="29" spans="2:7" ht="13.5" thickBot="1" x14ac:dyDescent="0.25">
      <c r="C29" s="43" t="s">
        <v>515</v>
      </c>
    </row>
    <row r="30" spans="2:7" x14ac:dyDescent="0.2">
      <c r="C30" s="348" t="s">
        <v>516</v>
      </c>
      <c r="D30" s="384" t="s">
        <v>518</v>
      </c>
    </row>
    <row r="31" spans="2:7" x14ac:dyDescent="0.2">
      <c r="C31" s="348" t="s">
        <v>517</v>
      </c>
      <c r="D31" s="384" t="s">
        <v>514</v>
      </c>
    </row>
    <row r="32" spans="2:7" x14ac:dyDescent="0.2">
      <c r="C32" t="str">
        <f>CONCATENATE("Currency Conversion ",D30,":",D31)</f>
        <v>Currency Conversion USD:EUR</v>
      </c>
      <c r="D32" s="385">
        <v>1.8640000000000001</v>
      </c>
    </row>
    <row r="34" spans="3:4" ht="13.5" thickBot="1" x14ac:dyDescent="0.25"/>
    <row r="35" spans="3:4" ht="13.5" thickBot="1" x14ac:dyDescent="0.25">
      <c r="C35" s="43" t="s">
        <v>519</v>
      </c>
    </row>
    <row r="36" spans="3:4" x14ac:dyDescent="0.2">
      <c r="C36" s="348" t="s">
        <v>520</v>
      </c>
      <c r="D36" s="384" t="s">
        <v>173</v>
      </c>
    </row>
    <row r="37" spans="3:4" x14ac:dyDescent="0.2">
      <c r="C37" s="348" t="s">
        <v>524</v>
      </c>
      <c r="D37" s="384" t="s">
        <v>521</v>
      </c>
    </row>
    <row r="38" spans="3:4" x14ac:dyDescent="0.2">
      <c r="C38" s="348" t="s">
        <v>530</v>
      </c>
      <c r="D38" s="384" t="s">
        <v>522</v>
      </c>
    </row>
    <row r="39" spans="3:4" ht="14.25" x14ac:dyDescent="0.2">
      <c r="C39" s="348" t="s">
        <v>531</v>
      </c>
      <c r="D39" s="384" t="s">
        <v>164</v>
      </c>
    </row>
    <row r="40" spans="3:4" x14ac:dyDescent="0.2">
      <c r="C40" s="348" t="s">
        <v>523</v>
      </c>
      <c r="D40" s="384" t="s">
        <v>211</v>
      </c>
    </row>
    <row r="41" spans="3:4" x14ac:dyDescent="0.2">
      <c r="C41" s="348" t="s">
        <v>525</v>
      </c>
      <c r="D41" s="384" t="s">
        <v>527</v>
      </c>
    </row>
    <row r="42" spans="3:4" x14ac:dyDescent="0.2">
      <c r="C42" s="348" t="s">
        <v>526</v>
      </c>
      <c r="D42" s="384" t="s">
        <v>528</v>
      </c>
    </row>
    <row r="43" spans="3:4" x14ac:dyDescent="0.2">
      <c r="C43" s="348" t="s">
        <v>529</v>
      </c>
      <c r="D43" s="384" t="s">
        <v>199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68"/>
  <sheetViews>
    <sheetView workbookViewId="0">
      <selection activeCell="D8" sqref="D8"/>
    </sheetView>
  </sheetViews>
  <sheetFormatPr defaultRowHeight="12.75" x14ac:dyDescent="0.2"/>
  <cols>
    <col min="1" max="1" width="1.28515625" customWidth="1"/>
    <col min="2" max="2" width="1.7109375" customWidth="1"/>
    <col min="3" max="3" width="43.7109375" customWidth="1"/>
    <col min="4" max="16" width="13.7109375" customWidth="1"/>
    <col min="17" max="17" width="2.28515625" customWidth="1"/>
  </cols>
  <sheetData>
    <row r="1" spans="1:17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x14ac:dyDescent="0.2">
      <c r="A2" s="6"/>
      <c r="B2" s="24" t="s">
        <v>512</v>
      </c>
      <c r="C2" s="24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 t="s">
        <v>511</v>
      </c>
      <c r="Q2" s="7"/>
    </row>
    <row r="3" spans="1:17" ht="13.5" thickBot="1" x14ac:dyDescent="0.25">
      <c r="A3" s="6"/>
      <c r="Q3" s="7"/>
    </row>
    <row r="4" spans="1:17" ht="13.5" thickBot="1" x14ac:dyDescent="0.25">
      <c r="A4" s="6"/>
      <c r="C4" s="43" t="s">
        <v>461</v>
      </c>
      <c r="Q4" s="7"/>
    </row>
    <row r="5" spans="1:17" x14ac:dyDescent="0.2">
      <c r="A5" s="6"/>
      <c r="Q5" s="7"/>
    </row>
    <row r="6" spans="1:17" x14ac:dyDescent="0.2">
      <c r="A6" s="6"/>
      <c r="C6" s="88" t="s">
        <v>473</v>
      </c>
      <c r="D6" s="296">
        <f>('Cash Flow - Year 7'!D6+'Cash Flow - Year 7'!P62)</f>
        <v>0</v>
      </c>
      <c r="Q6" s="7"/>
    </row>
    <row r="7" spans="1:17" x14ac:dyDescent="0.2">
      <c r="A7" s="6"/>
      <c r="C7" s="88" t="s">
        <v>479</v>
      </c>
      <c r="D7">
        <v>15</v>
      </c>
      <c r="Q7" s="7"/>
    </row>
    <row r="8" spans="1:17" x14ac:dyDescent="0.2">
      <c r="A8" s="6"/>
      <c r="C8" s="88" t="s">
        <v>485</v>
      </c>
      <c r="D8">
        <f>IF(('Cash Flow - Year 7'!D8-1)&lt;=0,1,('Cash Flow - Year 7'!D8-1))</f>
        <v>1</v>
      </c>
      <c r="Q8" s="7"/>
    </row>
    <row r="9" spans="1:17" x14ac:dyDescent="0.2">
      <c r="A9" s="6"/>
      <c r="C9" s="88" t="s">
        <v>476</v>
      </c>
      <c r="D9">
        <v>0</v>
      </c>
      <c r="Q9" s="7"/>
    </row>
    <row r="10" spans="1:17" x14ac:dyDescent="0.2">
      <c r="A10" s="6"/>
      <c r="C10" s="88"/>
      <c r="Q10" s="7"/>
    </row>
    <row r="11" spans="1:17" ht="13.5" thickBot="1" x14ac:dyDescent="0.25">
      <c r="A11" s="6"/>
      <c r="Q11" s="7"/>
    </row>
    <row r="12" spans="1:17" ht="13.5" thickBot="1" x14ac:dyDescent="0.25">
      <c r="A12" s="6"/>
      <c r="C12" s="258" t="s">
        <v>234</v>
      </c>
      <c r="D12" s="281" t="s">
        <v>388</v>
      </c>
      <c r="E12" s="281" t="s">
        <v>389</v>
      </c>
      <c r="F12" s="281" t="s">
        <v>390</v>
      </c>
      <c r="G12" s="281" t="s">
        <v>391</v>
      </c>
      <c r="H12" s="281" t="s">
        <v>392</v>
      </c>
      <c r="I12" s="281" t="s">
        <v>393</v>
      </c>
      <c r="J12" s="281" t="s">
        <v>394</v>
      </c>
      <c r="K12" s="281" t="s">
        <v>395</v>
      </c>
      <c r="L12" s="281" t="s">
        <v>396</v>
      </c>
      <c r="M12" s="281" t="s">
        <v>397</v>
      </c>
      <c r="N12" s="281" t="s">
        <v>398</v>
      </c>
      <c r="O12" s="293" t="s">
        <v>399</v>
      </c>
      <c r="P12" s="294" t="s">
        <v>78</v>
      </c>
      <c r="Q12" s="7"/>
    </row>
    <row r="13" spans="1:17" x14ac:dyDescent="0.2">
      <c r="A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22"/>
      <c r="Q13" s="7"/>
    </row>
    <row r="14" spans="1:17" x14ac:dyDescent="0.2">
      <c r="A14" s="6"/>
      <c r="C14" s="295" t="s">
        <v>462</v>
      </c>
      <c r="D14" s="1">
        <f>(D15*D16)</f>
        <v>120600</v>
      </c>
      <c r="E14" s="1">
        <f>(E15*E16)</f>
        <v>100500</v>
      </c>
      <c r="F14" s="1">
        <f>(F15*F16)</f>
        <v>100500</v>
      </c>
      <c r="G14" s="1">
        <f t="shared" ref="G14:O14" si="0">(G15*G16)</f>
        <v>100500</v>
      </c>
      <c r="H14" s="1">
        <f t="shared" si="0"/>
        <v>301500</v>
      </c>
      <c r="I14" s="1">
        <f t="shared" si="0"/>
        <v>301500</v>
      </c>
      <c r="J14" s="1">
        <f t="shared" si="0"/>
        <v>301500</v>
      </c>
      <c r="K14" s="1">
        <f t="shared" si="0"/>
        <v>301500</v>
      </c>
      <c r="L14" s="1">
        <f t="shared" si="0"/>
        <v>100500</v>
      </c>
      <c r="M14" s="1">
        <f t="shared" si="0"/>
        <v>100500</v>
      </c>
      <c r="N14" s="1">
        <f t="shared" si="0"/>
        <v>100500</v>
      </c>
      <c r="O14" s="1">
        <f t="shared" si="0"/>
        <v>100500</v>
      </c>
      <c r="P14" s="312">
        <f>SUM(D14:O14)</f>
        <v>2030100</v>
      </c>
      <c r="Q14" s="7"/>
    </row>
    <row r="15" spans="1:17" x14ac:dyDescent="0.2">
      <c r="A15" s="6"/>
      <c r="C15" s="308" t="s">
        <v>463</v>
      </c>
      <c r="D15" s="300">
        <f>(Projections!E19)</f>
        <v>40200</v>
      </c>
      <c r="E15" s="300">
        <f>(Projections!F19)</f>
        <v>33500</v>
      </c>
      <c r="F15" s="300">
        <f>(Projections!G19)</f>
        <v>33500</v>
      </c>
      <c r="G15" s="300">
        <f>(Projections!H19)</f>
        <v>33500</v>
      </c>
      <c r="H15" s="300">
        <f>(Projections!I19)</f>
        <v>100500</v>
      </c>
      <c r="I15" s="300">
        <f>(Projections!J19)</f>
        <v>100500</v>
      </c>
      <c r="J15" s="300">
        <f>(Projections!K19)</f>
        <v>100500</v>
      </c>
      <c r="K15" s="300">
        <f>(Projections!L19)</f>
        <v>100500</v>
      </c>
      <c r="L15" s="300">
        <f>(Projections!M19)</f>
        <v>33500</v>
      </c>
      <c r="M15" s="300">
        <f>(Projections!N19)</f>
        <v>33500</v>
      </c>
      <c r="N15" s="300">
        <f>(Projections!O19)</f>
        <v>33500</v>
      </c>
      <c r="O15" s="300">
        <f>(Projections!P19)</f>
        <v>33500</v>
      </c>
      <c r="P15" s="301">
        <f>SUM(D15:O15)</f>
        <v>676700</v>
      </c>
      <c r="Q15" s="7"/>
    </row>
    <row r="16" spans="1:17" x14ac:dyDescent="0.2">
      <c r="A16" s="6"/>
      <c r="C16" s="309" t="s">
        <v>464</v>
      </c>
      <c r="D16" s="61">
        <f>(Projections!$D$7)</f>
        <v>3</v>
      </c>
      <c r="E16" s="61">
        <f>(Projections!$D$7)</f>
        <v>3</v>
      </c>
      <c r="F16" s="61">
        <f>(Projections!$D$7)</f>
        <v>3</v>
      </c>
      <c r="G16" s="61">
        <f>(Projections!$D$7)</f>
        <v>3</v>
      </c>
      <c r="H16" s="61">
        <f>(Projections!$D$7)</f>
        <v>3</v>
      </c>
      <c r="I16" s="61">
        <f>(Projections!$D$7)</f>
        <v>3</v>
      </c>
      <c r="J16" s="61">
        <f>(Projections!$D$7)</f>
        <v>3</v>
      </c>
      <c r="K16" s="61">
        <f>(Projections!$D$7)</f>
        <v>3</v>
      </c>
      <c r="L16" s="61">
        <f>(Projections!$D$7)</f>
        <v>3</v>
      </c>
      <c r="M16" s="61">
        <f>(Projections!$D$7)</f>
        <v>3</v>
      </c>
      <c r="N16" s="61">
        <f>(Projections!$D$7)</f>
        <v>3</v>
      </c>
      <c r="O16" s="61">
        <f>(Projections!$D$7)</f>
        <v>3</v>
      </c>
      <c r="P16" s="291"/>
      <c r="Q16" s="7"/>
    </row>
    <row r="17" spans="1:17" x14ac:dyDescent="0.2">
      <c r="A17" s="6"/>
      <c r="C17" s="297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296"/>
      <c r="Q17" s="7"/>
    </row>
    <row r="18" spans="1:17" x14ac:dyDescent="0.2">
      <c r="A18" s="6"/>
      <c r="C18" s="1" t="s">
        <v>465</v>
      </c>
      <c r="P18" s="296"/>
      <c r="Q18" s="7"/>
    </row>
    <row r="19" spans="1:17" x14ac:dyDescent="0.2">
      <c r="A19" s="6"/>
      <c r="C19" s="298" t="s">
        <v>412</v>
      </c>
      <c r="D19" s="312">
        <f>SUM(D20:D35)</f>
        <v>0</v>
      </c>
      <c r="E19" s="312">
        <f>SUM(E20:E35)</f>
        <v>0</v>
      </c>
      <c r="F19" s="312">
        <f>SUM(F20:F35)</f>
        <v>0</v>
      </c>
      <c r="G19" s="312">
        <f t="shared" ref="G19:O19" si="1">SUM(G20:G35)</f>
        <v>0</v>
      </c>
      <c r="H19" s="312">
        <f t="shared" si="1"/>
        <v>0</v>
      </c>
      <c r="I19" s="312">
        <f t="shared" si="1"/>
        <v>0</v>
      </c>
      <c r="J19" s="312">
        <f t="shared" si="1"/>
        <v>0</v>
      </c>
      <c r="K19" s="312">
        <f t="shared" si="1"/>
        <v>0</v>
      </c>
      <c r="L19" s="312">
        <f t="shared" si="1"/>
        <v>0</v>
      </c>
      <c r="M19" s="312">
        <f t="shared" si="1"/>
        <v>0</v>
      </c>
      <c r="N19" s="312">
        <f t="shared" si="1"/>
        <v>0</v>
      </c>
      <c r="O19" s="312">
        <f t="shared" si="1"/>
        <v>0</v>
      </c>
      <c r="P19" s="315">
        <f t="shared" ref="P19:P63" si="2">SUM(D19:O19)</f>
        <v>0</v>
      </c>
      <c r="Q19" s="7"/>
    </row>
    <row r="20" spans="1:17" x14ac:dyDescent="0.2">
      <c r="A20" s="6"/>
      <c r="C20" s="304" t="s">
        <v>415</v>
      </c>
      <c r="D20" s="301">
        <v>0</v>
      </c>
      <c r="E20" s="301">
        <f>(Projections!$D$30*(Projections!F30/100))*-1</f>
        <v>0</v>
      </c>
      <c r="F20" s="301">
        <f>(Projections!$D$30*(Projections!G30/100))*-1</f>
        <v>0</v>
      </c>
      <c r="G20" s="301">
        <f>(Projections!$D$30*(Projections!H30/100))*-1</f>
        <v>0</v>
      </c>
      <c r="H20" s="301">
        <f>(Projections!$D$30*(Projections!I30/100))*-1</f>
        <v>0</v>
      </c>
      <c r="I20" s="301">
        <f>(Projections!$D$30*(Projections!J30/100))*-1</f>
        <v>0</v>
      </c>
      <c r="J20" s="301">
        <f>(Projections!$D$30*(Projections!K30/100))*-1</f>
        <v>0</v>
      </c>
      <c r="K20" s="301">
        <f>(Projections!$D$30*(Projections!L30/100))*-1</f>
        <v>0</v>
      </c>
      <c r="L20" s="301">
        <f>(Projections!$D$30*(Projections!M30/100))*-1</f>
        <v>0</v>
      </c>
      <c r="M20" s="301">
        <f>(Projections!$D$30*(Projections!N30/100))*-1</f>
        <v>0</v>
      </c>
      <c r="N20" s="301">
        <f>(Projections!$D$30*(Projections!O30/100))*-1</f>
        <v>0</v>
      </c>
      <c r="O20" s="301">
        <f>(Projections!$D$30*(Projections!P30/100))*-1</f>
        <v>0</v>
      </c>
      <c r="P20" s="290">
        <f t="shared" si="2"/>
        <v>0</v>
      </c>
      <c r="Q20" s="7"/>
    </row>
    <row r="21" spans="1:17" x14ac:dyDescent="0.2">
      <c r="A21" s="6"/>
      <c r="C21" s="305" t="s">
        <v>416</v>
      </c>
      <c r="D21" s="290">
        <v>0</v>
      </c>
      <c r="E21" s="290">
        <f>(Projections!$D$31*(Projections!F31/100))*-1</f>
        <v>0</v>
      </c>
      <c r="F21" s="290">
        <f>(Projections!$D$31*(Projections!G31/100))*-1</f>
        <v>0</v>
      </c>
      <c r="G21" s="290">
        <f>(Projections!$D$31*(Projections!H31/100))*-1</f>
        <v>0</v>
      </c>
      <c r="H21" s="290">
        <f>(Projections!$D$31*(Projections!I31/100))*-1</f>
        <v>0</v>
      </c>
      <c r="I21" s="290">
        <f>(Projections!$D$31*(Projections!J31/100))*-1</f>
        <v>0</v>
      </c>
      <c r="J21" s="290">
        <f>(Projections!$D$31*(Projections!K31/100))*-1</f>
        <v>0</v>
      </c>
      <c r="K21" s="290">
        <f>(Projections!$D$31*(Projections!L31/100))*-1</f>
        <v>0</v>
      </c>
      <c r="L21" s="290">
        <f>(Projections!$D$31*(Projections!M31/100))*-1</f>
        <v>0</v>
      </c>
      <c r="M21" s="290">
        <f>(Projections!$D$31*(Projections!N31/100))*-1</f>
        <v>0</v>
      </c>
      <c r="N21" s="290">
        <f>(Projections!$D$31*(Projections!O31/100))*-1</f>
        <v>0</v>
      </c>
      <c r="O21" s="290">
        <f>(Projections!$D$31*(Projections!P31/100))*-1</f>
        <v>0</v>
      </c>
      <c r="P21" s="290">
        <f t="shared" si="2"/>
        <v>0</v>
      </c>
      <c r="Q21" s="7"/>
    </row>
    <row r="22" spans="1:17" x14ac:dyDescent="0.2">
      <c r="A22" s="6"/>
      <c r="C22" s="305" t="s">
        <v>418</v>
      </c>
      <c r="D22" s="290">
        <v>0</v>
      </c>
      <c r="E22" s="290">
        <f>(Projections!$D$32*(Projections!F32/100))*-1</f>
        <v>0</v>
      </c>
      <c r="F22" s="290">
        <f>(Projections!$D$32*(Projections!G32/100))*-1</f>
        <v>0</v>
      </c>
      <c r="G22" s="290">
        <f>(Projections!$D$32*(Projections!H32/100))*-1</f>
        <v>0</v>
      </c>
      <c r="H22" s="290">
        <f>(Projections!$D$32*(Projections!I32/100))*-1</f>
        <v>0</v>
      </c>
      <c r="I22" s="290">
        <f>(Projections!$D$32*(Projections!J32/100))*-1</f>
        <v>0</v>
      </c>
      <c r="J22" s="290">
        <f>(Projections!$D$32*(Projections!K32/100))*-1</f>
        <v>0</v>
      </c>
      <c r="K22" s="290">
        <f>(Projections!$D$32*(Projections!L32/100))*-1</f>
        <v>0</v>
      </c>
      <c r="L22" s="290">
        <f>(Projections!$D$32*(Projections!M32/100))*-1</f>
        <v>0</v>
      </c>
      <c r="M22" s="290">
        <f>(Projections!$D$32*(Projections!N32/100))*-1</f>
        <v>0</v>
      </c>
      <c r="N22" s="290">
        <f>(Projections!$D$32*(Projections!O32/100))*-1</f>
        <v>0</v>
      </c>
      <c r="O22" s="290">
        <f>(Projections!$D$32*(Projections!P32/100))*-1</f>
        <v>0</v>
      </c>
      <c r="P22" s="290">
        <f t="shared" si="2"/>
        <v>0</v>
      </c>
      <c r="Q22" s="7"/>
    </row>
    <row r="23" spans="1:17" x14ac:dyDescent="0.2">
      <c r="A23" s="6"/>
      <c r="C23" s="305" t="s">
        <v>417</v>
      </c>
      <c r="D23" s="290">
        <v>0</v>
      </c>
      <c r="E23" s="290">
        <f>(Projections!$D$33*(Projections!F33/100))*-1</f>
        <v>0</v>
      </c>
      <c r="F23" s="290">
        <f>(Projections!$D$33*(Projections!G33/100))*-1</f>
        <v>0</v>
      </c>
      <c r="G23" s="290">
        <f>(Projections!$D$33*(Projections!H33/100))*-1</f>
        <v>0</v>
      </c>
      <c r="H23" s="290">
        <f>(Projections!$D$33*(Projections!I33/100))*-1</f>
        <v>0</v>
      </c>
      <c r="I23" s="290">
        <f>(Projections!$D$33*(Projections!J33/100))*-1</f>
        <v>0</v>
      </c>
      <c r="J23" s="290">
        <f>(Projections!$D$33*(Projections!K33/100))*-1</f>
        <v>0</v>
      </c>
      <c r="K23" s="290">
        <f>(Projections!$D$33*(Projections!L33/100))*-1</f>
        <v>0</v>
      </c>
      <c r="L23" s="290">
        <f>(Projections!$D$33*(Projections!M33/100))*-1</f>
        <v>0</v>
      </c>
      <c r="M23" s="290">
        <f>(Projections!$D$33*(Projections!N33/100))*-1</f>
        <v>0</v>
      </c>
      <c r="N23" s="290">
        <f>(Projections!$D$33*(Projections!O33/100))*-1</f>
        <v>0</v>
      </c>
      <c r="O23" s="290">
        <f>(Projections!$D$33*(Projections!P33/100))*-1</f>
        <v>0</v>
      </c>
      <c r="P23" s="290">
        <f t="shared" si="2"/>
        <v>0</v>
      </c>
      <c r="Q23" s="7"/>
    </row>
    <row r="24" spans="1:17" x14ac:dyDescent="0.2">
      <c r="A24" s="6"/>
      <c r="C24" s="305" t="s">
        <v>419</v>
      </c>
      <c r="D24" s="290">
        <v>0</v>
      </c>
      <c r="E24" s="290">
        <f>(Projections!$D$34*(Projections!F34/100))*-1</f>
        <v>0</v>
      </c>
      <c r="F24" s="290">
        <f>(Projections!$D$34*(Projections!G34/100))*-1</f>
        <v>0</v>
      </c>
      <c r="G24" s="290">
        <f>(Projections!$D$34*(Projections!H34/100))*-1</f>
        <v>0</v>
      </c>
      <c r="H24" s="290">
        <f>(Projections!$D$34*(Projections!I34/100))*-1</f>
        <v>0</v>
      </c>
      <c r="I24" s="290">
        <f>(Projections!$D$34*(Projections!J34/100))*-1</f>
        <v>0</v>
      </c>
      <c r="J24" s="290">
        <f>(Projections!$D$34*(Projections!K34/100))*-1</f>
        <v>0</v>
      </c>
      <c r="K24" s="290">
        <f>(Projections!$D$34*(Projections!L34/100))*-1</f>
        <v>0</v>
      </c>
      <c r="L24" s="290">
        <f>(Projections!$D$34*(Projections!M34/100))*-1</f>
        <v>0</v>
      </c>
      <c r="M24" s="290">
        <f>(Projections!$D$34*(Projections!N34/100))*-1</f>
        <v>0</v>
      </c>
      <c r="N24" s="290">
        <f>(Projections!$D$34*(Projections!O34/100))*-1</f>
        <v>0</v>
      </c>
      <c r="O24" s="290">
        <f>(Projections!$D$34*(Projections!P34/100))*-1</f>
        <v>0</v>
      </c>
      <c r="P24" s="290">
        <f t="shared" si="2"/>
        <v>0</v>
      </c>
      <c r="Q24" s="7"/>
    </row>
    <row r="25" spans="1:17" x14ac:dyDescent="0.2">
      <c r="A25" s="6"/>
      <c r="C25" s="305" t="s">
        <v>420</v>
      </c>
      <c r="D25" s="290">
        <v>0</v>
      </c>
      <c r="E25" s="290">
        <f>(Projections!$D$35*(Projections!F35/100))*-1</f>
        <v>0</v>
      </c>
      <c r="F25" s="290">
        <f>(Projections!$D$35*(Projections!G35/100))*-1</f>
        <v>0</v>
      </c>
      <c r="G25" s="290">
        <f>(Projections!$D$35*(Projections!H35/100))*-1</f>
        <v>0</v>
      </c>
      <c r="H25" s="290">
        <f>(Projections!$D$35*(Projections!I35/100))*-1</f>
        <v>0</v>
      </c>
      <c r="I25" s="290">
        <f>(Projections!$D$35*(Projections!J35/100))*-1</f>
        <v>0</v>
      </c>
      <c r="J25" s="290">
        <f>(Projections!$D$35*(Projections!K35/100))*-1</f>
        <v>0</v>
      </c>
      <c r="K25" s="290">
        <f>(Projections!$D$35*(Projections!L35/100))*-1</f>
        <v>0</v>
      </c>
      <c r="L25" s="290">
        <f>(Projections!$D$35*(Projections!M35/100))*-1</f>
        <v>0</v>
      </c>
      <c r="M25" s="290">
        <f>(Projections!$D$35*(Projections!N35/100))*-1</f>
        <v>0</v>
      </c>
      <c r="N25" s="290">
        <f>(Projections!$D$35*(Projections!O35/100))*-1</f>
        <v>0</v>
      </c>
      <c r="O25" s="290">
        <f>(Projections!$D$35*(Projections!P35/100))*-1</f>
        <v>0</v>
      </c>
      <c r="P25" s="290">
        <f t="shared" si="2"/>
        <v>0</v>
      </c>
      <c r="Q25" s="7"/>
    </row>
    <row r="26" spans="1:17" x14ac:dyDescent="0.2">
      <c r="A26" s="6"/>
      <c r="C26" s="305" t="s">
        <v>421</v>
      </c>
      <c r="D26" s="290">
        <f>(Projections!$D$36*(Projections!E36/100))*-1</f>
        <v>0</v>
      </c>
      <c r="E26" s="290">
        <f>(Projections!$D$36*(Projections!F36/100))*-1</f>
        <v>0</v>
      </c>
      <c r="F26" s="290">
        <f>(Projections!$D$36*(Projections!G36/100))*-1</f>
        <v>0</v>
      </c>
      <c r="G26" s="290">
        <f>(Projections!$D$36*(Projections!H36/100))*-1</f>
        <v>0</v>
      </c>
      <c r="H26" s="290">
        <f>(Projections!$D$36*(Projections!I36/100))*-1</f>
        <v>0</v>
      </c>
      <c r="I26" s="290">
        <f>(Projections!$D$36*(Projections!J36/100))*-1</f>
        <v>0</v>
      </c>
      <c r="J26" s="290">
        <f>(Projections!$D$36*(Projections!K36/100))*-1</f>
        <v>0</v>
      </c>
      <c r="K26" s="290">
        <f>(Projections!$D$36*(Projections!L36/100))*-1</f>
        <v>0</v>
      </c>
      <c r="L26" s="290">
        <f>(Projections!$D$36*(Projections!M36/100))*-1</f>
        <v>0</v>
      </c>
      <c r="M26" s="290">
        <f>(Projections!$D$36*(Projections!N36/100))*-1</f>
        <v>0</v>
      </c>
      <c r="N26" s="290">
        <f>(Projections!$D$36*(Projections!O36/100))*-1</f>
        <v>0</v>
      </c>
      <c r="O26" s="290">
        <f>(Projections!$D$36*(Projections!P36/100))*-1</f>
        <v>0</v>
      </c>
      <c r="P26" s="290">
        <f t="shared" si="2"/>
        <v>0</v>
      </c>
      <c r="Q26" s="7"/>
    </row>
    <row r="27" spans="1:17" x14ac:dyDescent="0.2">
      <c r="A27" s="6"/>
      <c r="C27" s="305" t="s">
        <v>422</v>
      </c>
      <c r="D27" s="290">
        <f>(Projections!$D$37*(Projections!E37/100))*-1</f>
        <v>0</v>
      </c>
      <c r="E27" s="290">
        <f>(Projections!$D$37*(Projections!F37/100))*-1</f>
        <v>0</v>
      </c>
      <c r="F27" s="290">
        <f>(Projections!$D$37*(Projections!G37/100))*-1</f>
        <v>0</v>
      </c>
      <c r="G27" s="290">
        <f>(Projections!$D$37*(Projections!H37/100))*-1</f>
        <v>0</v>
      </c>
      <c r="H27" s="290">
        <f>(Projections!$D$37*(Projections!I37/100))*-1</f>
        <v>0</v>
      </c>
      <c r="I27" s="290">
        <f>(Projections!$D$37*(Projections!J37/100))*-1</f>
        <v>0</v>
      </c>
      <c r="J27" s="290">
        <f>(Projections!$D$37*(Projections!K37/100))*-1</f>
        <v>0</v>
      </c>
      <c r="K27" s="290">
        <f>(Projections!$D$37*(Projections!L37/100))*-1</f>
        <v>0</v>
      </c>
      <c r="L27" s="290">
        <f>(Projections!$D$37*(Projections!M37/100))*-1</f>
        <v>0</v>
      </c>
      <c r="M27" s="290">
        <f>(Projections!$D$37*(Projections!N37/100))*-1</f>
        <v>0</v>
      </c>
      <c r="N27" s="290">
        <f>(Projections!$D$37*(Projections!O37/100))*-1</f>
        <v>0</v>
      </c>
      <c r="O27" s="290">
        <f>(Projections!$D$37*(Projections!P37/100))*-1</f>
        <v>0</v>
      </c>
      <c r="P27" s="290">
        <f t="shared" si="2"/>
        <v>0</v>
      </c>
      <c r="Q27" s="7"/>
    </row>
    <row r="28" spans="1:17" x14ac:dyDescent="0.2">
      <c r="A28" s="6"/>
      <c r="C28" s="305" t="s">
        <v>423</v>
      </c>
      <c r="D28" s="290">
        <f>(Projections!$D$38*(Projections!E38/100))*-1</f>
        <v>0</v>
      </c>
      <c r="E28" s="290">
        <f>(Projections!$D$38*(Projections!F38/100))*-1</f>
        <v>0</v>
      </c>
      <c r="F28" s="290">
        <f>(Projections!$D$38*(Projections!G38/100))*-1</f>
        <v>0</v>
      </c>
      <c r="G28" s="290">
        <f>(Projections!$D$38*(Projections!H38/100))*-1</f>
        <v>0</v>
      </c>
      <c r="H28" s="290">
        <f>(Projections!$D$38*(Projections!I38/100))*-1</f>
        <v>0</v>
      </c>
      <c r="I28" s="290">
        <f>(Projections!$D$38*(Projections!J38/100))*-1</f>
        <v>0</v>
      </c>
      <c r="J28" s="290">
        <f>(Projections!$D$38*(Projections!K38/100))*-1</f>
        <v>0</v>
      </c>
      <c r="K28" s="290">
        <f>(Projections!$D$38*(Projections!L38/100))*-1</f>
        <v>0</v>
      </c>
      <c r="L28" s="290">
        <f>(Projections!$D$38*(Projections!M38/100))*-1</f>
        <v>0</v>
      </c>
      <c r="M28" s="290">
        <f>(Projections!$D$38*(Projections!N38/100))*-1</f>
        <v>0</v>
      </c>
      <c r="N28" s="290">
        <f>(Projections!$D$38*(Projections!O38/100))*-1</f>
        <v>0</v>
      </c>
      <c r="O28" s="290">
        <f>(Projections!$D$38*(Projections!P38/100))*-1</f>
        <v>0</v>
      </c>
      <c r="P28" s="290">
        <f t="shared" si="2"/>
        <v>0</v>
      </c>
      <c r="Q28" s="7"/>
    </row>
    <row r="29" spans="1:17" x14ac:dyDescent="0.2">
      <c r="A29" s="6"/>
      <c r="C29" s="307" t="s">
        <v>424</v>
      </c>
      <c r="D29" s="290">
        <f>(Projections!$D$39*(Projections!E39/100))*-1</f>
        <v>0</v>
      </c>
      <c r="E29" s="290">
        <f>(Projections!$D$39*(Projections!F39/100))*-1</f>
        <v>0</v>
      </c>
      <c r="F29" s="290">
        <f>(Projections!$D$39*(Projections!G39/100))*-1</f>
        <v>0</v>
      </c>
      <c r="G29" s="290">
        <f>(Projections!$D$39*(Projections!H39/100))*-1</f>
        <v>0</v>
      </c>
      <c r="H29" s="290">
        <f>(Projections!$D$39*(Projections!I39/100))*-1</f>
        <v>0</v>
      </c>
      <c r="I29" s="290">
        <f>(Projections!$D$39*(Projections!J39/100))*-1</f>
        <v>0</v>
      </c>
      <c r="J29" s="290">
        <f>(Projections!$D$39*(Projections!K39/100))*-1</f>
        <v>0</v>
      </c>
      <c r="K29" s="290">
        <f>(Projections!$D$39*(Projections!L39/100))*-1</f>
        <v>0</v>
      </c>
      <c r="L29" s="290">
        <f>(Projections!$D$39*(Projections!M39/100))*-1</f>
        <v>0</v>
      </c>
      <c r="M29" s="290">
        <f>(Projections!$D$39*(Projections!N39/100))*-1</f>
        <v>0</v>
      </c>
      <c r="N29" s="290">
        <f>(Projections!$D$39*(Projections!O39/100))*-1</f>
        <v>0</v>
      </c>
      <c r="O29" s="290">
        <f>(Projections!$D$39*(Projections!P39/100))*-1</f>
        <v>0</v>
      </c>
      <c r="P29" s="290">
        <f t="shared" si="2"/>
        <v>0</v>
      </c>
      <c r="Q29" s="7"/>
    </row>
    <row r="30" spans="1:17" x14ac:dyDescent="0.2">
      <c r="A30" s="6"/>
      <c r="C30" s="307" t="s">
        <v>425</v>
      </c>
      <c r="D30" s="290">
        <f>(Projections!$D$40*(Projections!E40/100))*-1</f>
        <v>0</v>
      </c>
      <c r="E30" s="290">
        <f>(Projections!$D$40*(Projections!F40/100))*-1</f>
        <v>0</v>
      </c>
      <c r="F30" s="290">
        <f>(Projections!$D$40*(Projections!G40/100))*-1</f>
        <v>0</v>
      </c>
      <c r="G30" s="290">
        <f>(Projections!$D$40*(Projections!H40/100))*-1</f>
        <v>0</v>
      </c>
      <c r="H30" s="290">
        <f>(Projections!$D$40*(Projections!I40/100))*-1</f>
        <v>0</v>
      </c>
      <c r="I30" s="290">
        <f>(Projections!$D$40*(Projections!J40/100))*-1</f>
        <v>0</v>
      </c>
      <c r="J30" s="290">
        <f>(Projections!$D$40*(Projections!K40/100))*-1</f>
        <v>0</v>
      </c>
      <c r="K30" s="290">
        <f>(Projections!$D$40*(Projections!L40/100))*-1</f>
        <v>0</v>
      </c>
      <c r="L30" s="290">
        <f>(Projections!$D$40*(Projections!M40/100))*-1</f>
        <v>0</v>
      </c>
      <c r="M30" s="290">
        <f>(Projections!$D$40*(Projections!N40/100))*-1</f>
        <v>0</v>
      </c>
      <c r="N30" s="290">
        <f>(Projections!$D$40*(Projections!O40/100))*-1</f>
        <v>0</v>
      </c>
      <c r="O30" s="290">
        <f>(Projections!$D$40*(Projections!P40/100))*-1</f>
        <v>0</v>
      </c>
      <c r="P30" s="290">
        <f t="shared" si="2"/>
        <v>0</v>
      </c>
      <c r="Q30" s="7"/>
    </row>
    <row r="31" spans="1:17" x14ac:dyDescent="0.2">
      <c r="A31" s="6"/>
      <c r="C31" s="305" t="s">
        <v>426</v>
      </c>
      <c r="D31" s="290">
        <v>0</v>
      </c>
      <c r="E31" s="290">
        <f>(Projections!$D$41*(Projections!F41/100))*-1</f>
        <v>0</v>
      </c>
      <c r="F31" s="290">
        <f>(Projections!$D$41*(Projections!G41/100))*-1</f>
        <v>0</v>
      </c>
      <c r="G31" s="290">
        <f>(Projections!$D$41*(Projections!H41/100))*-1</f>
        <v>0</v>
      </c>
      <c r="H31" s="290">
        <f>(Projections!$D$41*(Projections!I41/100))*-1</f>
        <v>0</v>
      </c>
      <c r="I31" s="290">
        <f>(Projections!$D$41*(Projections!J41/100))*-1</f>
        <v>0</v>
      </c>
      <c r="J31" s="290">
        <f>(Projections!$D$41*(Projections!K41/100))*-1</f>
        <v>0</v>
      </c>
      <c r="K31" s="290">
        <f>(Projections!$D$41*(Projections!L41/100))*-1</f>
        <v>0</v>
      </c>
      <c r="L31" s="290">
        <f>(Projections!$D$41*(Projections!M41/100))*-1</f>
        <v>0</v>
      </c>
      <c r="M31" s="290">
        <f>(Projections!$D$41*(Projections!N41/100))*-1</f>
        <v>0</v>
      </c>
      <c r="N31" s="290">
        <f>(Projections!$D$41*(Projections!O41/100))*-1</f>
        <v>0</v>
      </c>
      <c r="O31" s="290">
        <f>(Projections!$D$41*(Projections!P41/100))*-1</f>
        <v>0</v>
      </c>
      <c r="P31" s="290">
        <f t="shared" si="2"/>
        <v>0</v>
      </c>
      <c r="Q31" s="7"/>
    </row>
    <row r="32" spans="1:17" x14ac:dyDescent="0.2">
      <c r="A32" s="6"/>
      <c r="C32" s="306" t="s">
        <v>466</v>
      </c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>
        <f t="shared" si="2"/>
        <v>0</v>
      </c>
      <c r="Q32" s="7"/>
    </row>
    <row r="33" spans="1:17" x14ac:dyDescent="0.2">
      <c r="A33" s="6"/>
      <c r="C33" s="306" t="s">
        <v>467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>
        <f t="shared" si="2"/>
        <v>0</v>
      </c>
      <c r="Q33" s="7"/>
    </row>
    <row r="34" spans="1:17" x14ac:dyDescent="0.2">
      <c r="A34" s="6"/>
      <c r="C34" s="306" t="s">
        <v>468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>
        <f t="shared" si="2"/>
        <v>0</v>
      </c>
      <c r="Q34" s="7"/>
    </row>
    <row r="35" spans="1:17" x14ac:dyDescent="0.2">
      <c r="A35" s="6"/>
      <c r="C35" s="303" t="s">
        <v>428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>
        <f t="shared" si="2"/>
        <v>0</v>
      </c>
      <c r="Q35" s="7"/>
    </row>
    <row r="36" spans="1:17" x14ac:dyDescent="0.2">
      <c r="A36" s="6"/>
      <c r="C36" s="299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7"/>
    </row>
    <row r="37" spans="1:17" x14ac:dyDescent="0.2">
      <c r="A37" s="6"/>
      <c r="C37" s="298" t="s">
        <v>469</v>
      </c>
      <c r="D37" s="312">
        <f>SUM(D38:D49)</f>
        <v>-60352</v>
      </c>
      <c r="E37" s="312">
        <f>SUM(E38:E49)</f>
        <v>-60352</v>
      </c>
      <c r="F37" s="312">
        <f>SUM(F38:F49)</f>
        <v>-60352</v>
      </c>
      <c r="G37" s="312">
        <f t="shared" ref="G37:O37" si="3">SUM(G38:G49)</f>
        <v>-60352</v>
      </c>
      <c r="H37" s="312">
        <f t="shared" si="3"/>
        <v>-60352</v>
      </c>
      <c r="I37" s="312">
        <f t="shared" si="3"/>
        <v>-95352</v>
      </c>
      <c r="J37" s="312">
        <f t="shared" si="3"/>
        <v>-60352</v>
      </c>
      <c r="K37" s="312">
        <f t="shared" si="3"/>
        <v>-60352</v>
      </c>
      <c r="L37" s="312">
        <f t="shared" si="3"/>
        <v>-60352</v>
      </c>
      <c r="M37" s="312">
        <f t="shared" si="3"/>
        <v>-60352</v>
      </c>
      <c r="N37" s="312">
        <f t="shared" si="3"/>
        <v>-60352</v>
      </c>
      <c r="O37" s="312">
        <f t="shared" si="3"/>
        <v>-95352</v>
      </c>
      <c r="P37" s="315">
        <f t="shared" si="2"/>
        <v>-794224</v>
      </c>
      <c r="Q37" s="7"/>
    </row>
    <row r="38" spans="1:17" x14ac:dyDescent="0.2">
      <c r="A38" s="6"/>
      <c r="C38" s="304" t="s">
        <v>430</v>
      </c>
      <c r="D38" s="301">
        <f>(Projections!$D49*(Projections!E49/100))*-1</f>
        <v>0</v>
      </c>
      <c r="E38" s="301">
        <f>(Projections!$D49*(Projections!F49/100))*-1</f>
        <v>0</v>
      </c>
      <c r="F38" s="301">
        <f>(Projections!$D49*(Projections!G49/100))*-1</f>
        <v>0</v>
      </c>
      <c r="G38" s="301">
        <f>(Projections!$D49*(Projections!H49/100))*-1</f>
        <v>0</v>
      </c>
      <c r="H38" s="301">
        <f>(Projections!$D49*(Projections!I49/100))*-1</f>
        <v>0</v>
      </c>
      <c r="I38" s="301">
        <f>(Projections!$D49*(Projections!J49/100))*-1</f>
        <v>-20000</v>
      </c>
      <c r="J38" s="301">
        <f>(Projections!$D49*(Projections!K49/100))*-1</f>
        <v>0</v>
      </c>
      <c r="K38" s="301">
        <f>(Projections!$D49*(Projections!L49/100))*-1</f>
        <v>0</v>
      </c>
      <c r="L38" s="301">
        <f>(Projections!$D49*(Projections!M49/100))*-1</f>
        <v>0</v>
      </c>
      <c r="M38" s="301">
        <f>(Projections!$D49*(Projections!N49/100))*-1</f>
        <v>0</v>
      </c>
      <c r="N38" s="301">
        <f>(Projections!$D49*(Projections!O49/100))*-1</f>
        <v>0</v>
      </c>
      <c r="O38" s="301">
        <f>(Projections!$D49*(Projections!P49/100))*-1</f>
        <v>-20000</v>
      </c>
      <c r="P38" s="290">
        <f t="shared" si="2"/>
        <v>-40000</v>
      </c>
      <c r="Q38" s="7"/>
    </row>
    <row r="39" spans="1:17" x14ac:dyDescent="0.2">
      <c r="A39" s="6"/>
      <c r="C39" s="305" t="s">
        <v>431</v>
      </c>
      <c r="D39" s="290">
        <f>(Projections!$D50*(Projections!E50/100))*-1</f>
        <v>0</v>
      </c>
      <c r="E39" s="290">
        <f>(Projections!$D50*(Projections!F50/100))*-1</f>
        <v>0</v>
      </c>
      <c r="F39" s="290">
        <f>(Projections!$D50*(Projections!G50/100))*-1</f>
        <v>0</v>
      </c>
      <c r="G39" s="290">
        <f>(Projections!$D50*(Projections!H50/100))*-1</f>
        <v>0</v>
      </c>
      <c r="H39" s="290">
        <f>(Projections!$D50*(Projections!I50/100))*-1</f>
        <v>0</v>
      </c>
      <c r="I39" s="290">
        <f>(Projections!$D50*(Projections!J50/100))*-1</f>
        <v>-15000</v>
      </c>
      <c r="J39" s="290">
        <f>(Projections!$D50*(Projections!K50/100))*-1</f>
        <v>0</v>
      </c>
      <c r="K39" s="290">
        <f>(Projections!$D50*(Projections!L50/100))*-1</f>
        <v>0</v>
      </c>
      <c r="L39" s="290">
        <f>(Projections!$D50*(Projections!M50/100))*-1</f>
        <v>0</v>
      </c>
      <c r="M39" s="290">
        <f>(Projections!$D50*(Projections!N50/100))*-1</f>
        <v>0</v>
      </c>
      <c r="N39" s="290">
        <f>(Projections!$D50*(Projections!O50/100))*-1</f>
        <v>0</v>
      </c>
      <c r="O39" s="290">
        <f>(Projections!$D50*(Projections!P50/100))*-1</f>
        <v>-15000</v>
      </c>
      <c r="P39" s="290">
        <f t="shared" si="2"/>
        <v>-30000</v>
      </c>
      <c r="Q39" s="7"/>
    </row>
    <row r="40" spans="1:17" x14ac:dyDescent="0.2">
      <c r="A40" s="6"/>
      <c r="C40" s="306" t="s">
        <v>185</v>
      </c>
      <c r="D40" s="290">
        <f>(Projections!$D51*(Projections!E51/100))*-1</f>
        <v>-7680</v>
      </c>
      <c r="E40" s="290">
        <f>(Projections!$D51*(Projections!F51/100))*-1</f>
        <v>-7680</v>
      </c>
      <c r="F40" s="290">
        <f>(Projections!$D51*(Projections!G51/100))*-1</f>
        <v>-7680</v>
      </c>
      <c r="G40" s="290">
        <f>(Projections!$D51*(Projections!H51/100))*-1</f>
        <v>-7680</v>
      </c>
      <c r="H40" s="290">
        <f>(Projections!$D51*(Projections!I51/100))*-1</f>
        <v>-7680</v>
      </c>
      <c r="I40" s="290">
        <f>(Projections!$D51*(Projections!J51/100))*-1</f>
        <v>-7680</v>
      </c>
      <c r="J40" s="290">
        <f>(Projections!$D51*(Projections!K51/100))*-1</f>
        <v>-7680</v>
      </c>
      <c r="K40" s="290">
        <f>(Projections!$D51*(Projections!L51/100))*-1</f>
        <v>-7680</v>
      </c>
      <c r="L40" s="290">
        <f>(Projections!$D51*(Projections!M51/100))*-1</f>
        <v>-7680</v>
      </c>
      <c r="M40" s="290">
        <f>(Projections!$D51*(Projections!N51/100))*-1</f>
        <v>-7680</v>
      </c>
      <c r="N40" s="290">
        <f>(Projections!$D51*(Projections!O51/100))*-1</f>
        <v>-7680</v>
      </c>
      <c r="O40" s="290">
        <f>(Projections!$D51*(Projections!P51/100))*-1</f>
        <v>-7680</v>
      </c>
      <c r="P40" s="290">
        <f t="shared" si="2"/>
        <v>-92160</v>
      </c>
      <c r="Q40" s="7"/>
    </row>
    <row r="41" spans="1:17" x14ac:dyDescent="0.2">
      <c r="A41" s="6"/>
      <c r="C41" s="306" t="s">
        <v>186</v>
      </c>
      <c r="D41" s="290">
        <f>(Projections!$D$52*(Projections!E52/100))*-1</f>
        <v>-640</v>
      </c>
      <c r="E41" s="290">
        <f>(Projections!$D$52*(Projections!F52/100))*-1</f>
        <v>-640</v>
      </c>
      <c r="F41" s="290">
        <f>(Projections!$D$52*(Projections!G52/100))*-1</f>
        <v>-640</v>
      </c>
      <c r="G41" s="290">
        <f>(Projections!$D$52*(Projections!H52/100))*-1</f>
        <v>-640</v>
      </c>
      <c r="H41" s="290">
        <f>(Projections!$D$52*(Projections!I52/100))*-1</f>
        <v>-640</v>
      </c>
      <c r="I41" s="290">
        <f>(Projections!$D$52*(Projections!J52/100))*-1</f>
        <v>-640</v>
      </c>
      <c r="J41" s="290">
        <f>(Projections!$D$52*(Projections!K52/100))*-1</f>
        <v>-640</v>
      </c>
      <c r="K41" s="290">
        <f>(Projections!$D$52*(Projections!L52/100))*-1</f>
        <v>-640</v>
      </c>
      <c r="L41" s="290">
        <f>(Projections!$D$52*(Projections!M52/100))*-1</f>
        <v>-640</v>
      </c>
      <c r="M41" s="290">
        <f>(Projections!$D$52*(Projections!N52/100))*-1</f>
        <v>-640</v>
      </c>
      <c r="N41" s="290">
        <f>(Projections!$D$52*(Projections!O52/100))*-1</f>
        <v>-640</v>
      </c>
      <c r="O41" s="290">
        <f>(Projections!$D$52*(Projections!P52/100))*-1</f>
        <v>-640</v>
      </c>
      <c r="P41" s="290">
        <f t="shared" si="2"/>
        <v>-7680</v>
      </c>
      <c r="Q41" s="7"/>
    </row>
    <row r="42" spans="1:17" x14ac:dyDescent="0.2">
      <c r="A42" s="6"/>
      <c r="C42" s="306" t="s">
        <v>187</v>
      </c>
      <c r="D42" s="290">
        <f>(Projections!$D$53*(Projections!E53/100))*-1</f>
        <v>-960</v>
      </c>
      <c r="E42" s="290">
        <f>(Projections!$D$53*(Projections!F53/100))*-1</f>
        <v>-960</v>
      </c>
      <c r="F42" s="290">
        <f>(Projections!$D$53*(Projections!G53/100))*-1</f>
        <v>-960</v>
      </c>
      <c r="G42" s="290">
        <f>(Projections!$D$53*(Projections!H53/100))*-1</f>
        <v>-960</v>
      </c>
      <c r="H42" s="290">
        <f>(Projections!$D$53*(Projections!I53/100))*-1</f>
        <v>-960</v>
      </c>
      <c r="I42" s="290">
        <f>(Projections!$D$53*(Projections!J53/100))*-1</f>
        <v>-960</v>
      </c>
      <c r="J42" s="290">
        <f>(Projections!$D$53*(Projections!K53/100))*-1</f>
        <v>-960</v>
      </c>
      <c r="K42" s="290">
        <f>(Projections!$D$53*(Projections!L53/100))*-1</f>
        <v>-960</v>
      </c>
      <c r="L42" s="290">
        <f>(Projections!$D$53*(Projections!M53/100))*-1</f>
        <v>-960</v>
      </c>
      <c r="M42" s="290">
        <f>(Projections!$D$53*(Projections!N53/100))*-1</f>
        <v>-960</v>
      </c>
      <c r="N42" s="290">
        <f>(Projections!$D$53*(Projections!O53/100))*-1</f>
        <v>-960</v>
      </c>
      <c r="O42" s="290">
        <f>(Projections!$D$53*(Projections!P53/100))*-1</f>
        <v>-960</v>
      </c>
      <c r="P42" s="290">
        <f t="shared" si="2"/>
        <v>-11520</v>
      </c>
      <c r="Q42" s="7"/>
    </row>
    <row r="43" spans="1:17" x14ac:dyDescent="0.2">
      <c r="A43" s="6"/>
      <c r="C43" s="306" t="s">
        <v>191</v>
      </c>
      <c r="D43" s="290">
        <f>(Projections!$D$54*(Projections!E54/100))*-1</f>
        <v>-1152</v>
      </c>
      <c r="E43" s="290">
        <f>(Projections!$D$54*(Projections!F54/100))*-1</f>
        <v>-1152</v>
      </c>
      <c r="F43" s="290">
        <f>(Projections!$D$54*(Projections!G54/100))*-1</f>
        <v>-1152</v>
      </c>
      <c r="G43" s="290">
        <f>(Projections!$D$54*(Projections!H54/100))*-1</f>
        <v>-1152</v>
      </c>
      <c r="H43" s="290">
        <f>(Projections!$D$54*(Projections!I54/100))*-1</f>
        <v>-1152</v>
      </c>
      <c r="I43" s="290">
        <f>(Projections!$D$54*(Projections!J54/100))*-1</f>
        <v>-1152</v>
      </c>
      <c r="J43" s="290">
        <f>(Projections!$D$54*(Projections!K54/100))*-1</f>
        <v>-1152</v>
      </c>
      <c r="K43" s="290">
        <f>(Projections!$D$54*(Projections!L54/100))*-1</f>
        <v>-1152</v>
      </c>
      <c r="L43" s="290">
        <f>(Projections!$D$54*(Projections!M54/100))*-1</f>
        <v>-1152</v>
      </c>
      <c r="M43" s="290">
        <f>(Projections!$D$54*(Projections!N54/100))*-1</f>
        <v>-1152</v>
      </c>
      <c r="N43" s="290">
        <f>(Projections!$D$54*(Projections!O54/100))*-1</f>
        <v>-1152</v>
      </c>
      <c r="O43" s="290">
        <f>(Projections!$D$54*(Projections!P54/100))*-1</f>
        <v>-1152</v>
      </c>
      <c r="P43" s="290">
        <f t="shared" si="2"/>
        <v>-13824</v>
      </c>
      <c r="Q43" s="7"/>
    </row>
    <row r="44" spans="1:17" x14ac:dyDescent="0.2">
      <c r="A44" s="6"/>
      <c r="C44" s="306" t="s">
        <v>193</v>
      </c>
      <c r="D44" s="290">
        <f>(Projections!$D$55*(Projections!E55/100))*-1</f>
        <v>0</v>
      </c>
      <c r="E44" s="290">
        <f>(Projections!$D$55*(Projections!F55/100))*-1</f>
        <v>0</v>
      </c>
      <c r="F44" s="290">
        <f>(Projections!$D$55*(Projections!G55/100))*-1</f>
        <v>0</v>
      </c>
      <c r="G44" s="290">
        <f>(Projections!$D$55*(Projections!H55/100))*-1</f>
        <v>0</v>
      </c>
      <c r="H44" s="290">
        <f>(Projections!$D$55*(Projections!I55/100))*-1</f>
        <v>0</v>
      </c>
      <c r="I44" s="290">
        <f>(Projections!$D$55*(Projections!J55/100))*-1</f>
        <v>0</v>
      </c>
      <c r="J44" s="290">
        <f>(Projections!$D$55*(Projections!K55/100))*-1</f>
        <v>0</v>
      </c>
      <c r="K44" s="290">
        <f>(Projections!$D$55*(Projections!L55/100))*-1</f>
        <v>0</v>
      </c>
      <c r="L44" s="290">
        <f>(Projections!$D$55*(Projections!M55/100))*-1</f>
        <v>0</v>
      </c>
      <c r="M44" s="290">
        <f>(Projections!$D$55*(Projections!N55/100))*-1</f>
        <v>0</v>
      </c>
      <c r="N44" s="290">
        <f>(Projections!$D$55*(Projections!O55/100))*-1</f>
        <v>0</v>
      </c>
      <c r="O44" s="290">
        <f>(Projections!$D$55*(Projections!P55/100))*-1</f>
        <v>0</v>
      </c>
      <c r="P44" s="290">
        <f t="shared" si="2"/>
        <v>0</v>
      </c>
      <c r="Q44" s="7"/>
    </row>
    <row r="45" spans="1:17" x14ac:dyDescent="0.2">
      <c r="A45" s="6"/>
      <c r="C45" s="306" t="s">
        <v>188</v>
      </c>
      <c r="D45" s="290">
        <f>(Projections!$D$56*(Projections!E56/100))*-1</f>
        <v>-28800</v>
      </c>
      <c r="E45" s="290">
        <f>(Projections!$D$56*(Projections!F56/100))*-1</f>
        <v>-28800</v>
      </c>
      <c r="F45" s="290">
        <f>(Projections!$D$56*(Projections!G56/100))*-1</f>
        <v>-28800</v>
      </c>
      <c r="G45" s="290">
        <f>(Projections!$D$56*(Projections!H56/100))*-1</f>
        <v>-28800</v>
      </c>
      <c r="H45" s="290">
        <f>(Projections!$D$56*(Projections!I56/100))*-1</f>
        <v>-28800</v>
      </c>
      <c r="I45" s="290">
        <f>(Projections!$D$56*(Projections!J56/100))*-1</f>
        <v>-28800</v>
      </c>
      <c r="J45" s="290">
        <f>(Projections!$D$56*(Projections!K56/100))*-1</f>
        <v>-28800</v>
      </c>
      <c r="K45" s="290">
        <f>(Projections!$D$56*(Projections!L56/100))*-1</f>
        <v>-28800</v>
      </c>
      <c r="L45" s="290">
        <f>(Projections!$D$56*(Projections!M56/100))*-1</f>
        <v>-28800</v>
      </c>
      <c r="M45" s="290">
        <f>(Projections!$D$56*(Projections!N56/100))*-1</f>
        <v>-28800</v>
      </c>
      <c r="N45" s="290">
        <f>(Projections!$D$56*(Projections!O56/100))*-1</f>
        <v>-28800</v>
      </c>
      <c r="O45" s="290">
        <f>(Projections!$D$56*(Projections!P56/100))*-1</f>
        <v>-28800</v>
      </c>
      <c r="P45" s="290">
        <f t="shared" si="2"/>
        <v>-345600</v>
      </c>
      <c r="Q45" s="7"/>
    </row>
    <row r="46" spans="1:17" x14ac:dyDescent="0.2">
      <c r="A46" s="6"/>
      <c r="C46" s="306" t="s">
        <v>189</v>
      </c>
      <c r="D46" s="290">
        <f>(Projections!$D$57*(Projections!E57/100))*-1</f>
        <v>-2400</v>
      </c>
      <c r="E46" s="290">
        <f>(Projections!$D$57*(Projections!F57/100))*-1</f>
        <v>-2400</v>
      </c>
      <c r="F46" s="290">
        <f>(Projections!$D$57*(Projections!G57/100))*-1</f>
        <v>-2400</v>
      </c>
      <c r="G46" s="290">
        <f>(Projections!$D$57*(Projections!H57/100))*-1</f>
        <v>-2400</v>
      </c>
      <c r="H46" s="290">
        <f>(Projections!$D$57*(Projections!I57/100))*-1</f>
        <v>-2400</v>
      </c>
      <c r="I46" s="290">
        <f>(Projections!$D$57*(Projections!J57/100))*-1</f>
        <v>-2400</v>
      </c>
      <c r="J46" s="290">
        <f>(Projections!$D$57*(Projections!K57/100))*-1</f>
        <v>-2400</v>
      </c>
      <c r="K46" s="290">
        <f>(Projections!$D$57*(Projections!L57/100))*-1</f>
        <v>-2400</v>
      </c>
      <c r="L46" s="290">
        <f>(Projections!$D$57*(Projections!M57/100))*-1</f>
        <v>-2400</v>
      </c>
      <c r="M46" s="290">
        <f>(Projections!$D$57*(Projections!N57/100))*-1</f>
        <v>-2400</v>
      </c>
      <c r="N46" s="290">
        <f>(Projections!$D$57*(Projections!O57/100))*-1</f>
        <v>-2400</v>
      </c>
      <c r="O46" s="290">
        <f>(Projections!$D$57*(Projections!P57/100))*-1</f>
        <v>-2400</v>
      </c>
      <c r="P46" s="290">
        <f t="shared" si="2"/>
        <v>-28800</v>
      </c>
      <c r="Q46" s="7"/>
    </row>
    <row r="47" spans="1:17" x14ac:dyDescent="0.2">
      <c r="A47" s="6"/>
      <c r="C47" s="306" t="s">
        <v>190</v>
      </c>
      <c r="D47" s="290">
        <f>(Projections!$D$58*(Projections!E58/100))*-1</f>
        <v>-11520</v>
      </c>
      <c r="E47" s="290">
        <f>(Projections!$D$58*(Projections!F58/100))*-1</f>
        <v>-11520</v>
      </c>
      <c r="F47" s="290">
        <f>(Projections!$D$58*(Projections!G58/100))*-1</f>
        <v>-11520</v>
      </c>
      <c r="G47" s="290">
        <f>(Projections!$D$58*(Projections!H58/100))*-1</f>
        <v>-11520</v>
      </c>
      <c r="H47" s="290">
        <f>(Projections!$D$58*(Projections!I58/100))*-1</f>
        <v>-11520</v>
      </c>
      <c r="I47" s="290">
        <f>(Projections!$D$58*(Projections!J58/100))*-1</f>
        <v>-11520</v>
      </c>
      <c r="J47" s="290">
        <f>(Projections!$D$58*(Projections!K58/100))*-1</f>
        <v>-11520</v>
      </c>
      <c r="K47" s="290">
        <f>(Projections!$D$58*(Projections!L58/100))*-1</f>
        <v>-11520</v>
      </c>
      <c r="L47" s="290">
        <f>(Projections!$D$58*(Projections!M58/100))*-1</f>
        <v>-11520</v>
      </c>
      <c r="M47" s="290">
        <f>(Projections!$D$58*(Projections!N58/100))*-1</f>
        <v>-11520</v>
      </c>
      <c r="N47" s="290">
        <f>(Projections!$D$58*(Projections!O58/100))*-1</f>
        <v>-11520</v>
      </c>
      <c r="O47" s="290">
        <f>(Projections!$D$58*(Projections!P58/100))*-1</f>
        <v>-11520</v>
      </c>
      <c r="P47" s="290">
        <f t="shared" si="2"/>
        <v>-138240</v>
      </c>
      <c r="Q47" s="7"/>
    </row>
    <row r="48" spans="1:17" x14ac:dyDescent="0.2">
      <c r="A48" s="6"/>
      <c r="C48" s="306" t="s">
        <v>192</v>
      </c>
      <c r="D48" s="290">
        <f>(Projections!$D$59*(Projections!E59/100))*-1</f>
        <v>-7200</v>
      </c>
      <c r="E48" s="290">
        <f>(Projections!$D$59*(Projections!F59/100))*-1</f>
        <v>-7200</v>
      </c>
      <c r="F48" s="290">
        <f>(Projections!$D$59*(Projections!G59/100))*-1</f>
        <v>-7200</v>
      </c>
      <c r="G48" s="290">
        <f>(Projections!$D$59*(Projections!H59/100))*-1</f>
        <v>-7200</v>
      </c>
      <c r="H48" s="290">
        <f>(Projections!$D$59*(Projections!I59/100))*-1</f>
        <v>-7200</v>
      </c>
      <c r="I48" s="290">
        <f>(Projections!$D$59*(Projections!J59/100))*-1</f>
        <v>-7200</v>
      </c>
      <c r="J48" s="290">
        <f>(Projections!$D$59*(Projections!K59/100))*-1</f>
        <v>-7200</v>
      </c>
      <c r="K48" s="290">
        <f>(Projections!$D$59*(Projections!L59/100))*-1</f>
        <v>-7200</v>
      </c>
      <c r="L48" s="290">
        <f>(Projections!$D$59*(Projections!M59/100))*-1</f>
        <v>-7200</v>
      </c>
      <c r="M48" s="290">
        <f>(Projections!$D$59*(Projections!N59/100))*-1</f>
        <v>-7200</v>
      </c>
      <c r="N48" s="290">
        <f>(Projections!$D$59*(Projections!O59/100))*-1</f>
        <v>-7200</v>
      </c>
      <c r="O48" s="290">
        <f>(Projections!$D$59*(Projections!P59/100))*-1</f>
        <v>-7200</v>
      </c>
      <c r="P48" s="290">
        <f t="shared" si="2"/>
        <v>-86400</v>
      </c>
      <c r="Q48" s="7"/>
    </row>
    <row r="49" spans="1:17" x14ac:dyDescent="0.2">
      <c r="A49" s="6"/>
      <c r="C49" s="303" t="s">
        <v>194</v>
      </c>
      <c r="D49" s="291">
        <f>(Projections!$D$60*(Projections!E60/100))*-1</f>
        <v>0</v>
      </c>
      <c r="E49" s="291">
        <f>(Projections!$D$60*(Projections!F60/100))*-1</f>
        <v>0</v>
      </c>
      <c r="F49" s="291">
        <f>(Projections!$D$60*(Projections!G60/100))*-1</f>
        <v>0</v>
      </c>
      <c r="G49" s="291">
        <f>(Projections!$D$60*(Projections!H60/100))*-1</f>
        <v>0</v>
      </c>
      <c r="H49" s="291">
        <f>(Projections!$D$60*(Projections!I60/100))*-1</f>
        <v>0</v>
      </c>
      <c r="I49" s="291">
        <f>(Projections!$D$60*(Projections!J60/100))*-1</f>
        <v>0</v>
      </c>
      <c r="J49" s="291">
        <f>(Projections!$D$60*(Projections!K60/100))*-1</f>
        <v>0</v>
      </c>
      <c r="K49" s="291">
        <f>(Projections!$D$60*(Projections!L60/100))*-1</f>
        <v>0</v>
      </c>
      <c r="L49" s="291">
        <f>(Projections!$D$60*(Projections!M60/100))*-1</f>
        <v>0</v>
      </c>
      <c r="M49" s="291">
        <f>(Projections!$D$60*(Projections!N60/100))*-1</f>
        <v>0</v>
      </c>
      <c r="N49" s="291">
        <f>(Projections!$D$60*(Projections!O60/100))*-1</f>
        <v>0</v>
      </c>
      <c r="O49" s="291">
        <f>(Projections!$D$60*(Projections!P60/100))*-1</f>
        <v>0</v>
      </c>
      <c r="P49" s="291">
        <f t="shared" si="2"/>
        <v>0</v>
      </c>
      <c r="Q49" s="7"/>
    </row>
    <row r="50" spans="1:17" x14ac:dyDescent="0.2">
      <c r="A50" s="6"/>
      <c r="C50" s="298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7"/>
    </row>
    <row r="51" spans="1:17" x14ac:dyDescent="0.2">
      <c r="A51" s="6"/>
      <c r="C51" s="298" t="s">
        <v>411</v>
      </c>
      <c r="D51" s="312">
        <f>SUM(D52:D53)</f>
        <v>-562.50000000000011</v>
      </c>
      <c r="E51" s="312">
        <f>SUM(E52:E53)</f>
        <v>-146012.5</v>
      </c>
      <c r="F51" s="312">
        <f>SUM(F52:F53)</f>
        <v>-562.50000000000011</v>
      </c>
      <c r="G51" s="312">
        <f t="shared" ref="G51:O51" si="4">SUM(G52:G53)</f>
        <v>-562.50000000000011</v>
      </c>
      <c r="H51" s="312">
        <f t="shared" si="4"/>
        <v>-2362.5</v>
      </c>
      <c r="I51" s="312">
        <f t="shared" si="4"/>
        <v>-144212.5</v>
      </c>
      <c r="J51" s="312">
        <f t="shared" si="4"/>
        <v>-562.50000000000011</v>
      </c>
      <c r="K51" s="312">
        <f t="shared" si="4"/>
        <v>-2362.5</v>
      </c>
      <c r="L51" s="312">
        <f t="shared" si="4"/>
        <v>-562.50000000000011</v>
      </c>
      <c r="M51" s="312">
        <f t="shared" si="4"/>
        <v>-562.50000000000011</v>
      </c>
      <c r="N51" s="312">
        <f t="shared" si="4"/>
        <v>-2362.5</v>
      </c>
      <c r="O51" s="312">
        <f t="shared" si="4"/>
        <v>-562.50000000000011</v>
      </c>
      <c r="P51" s="315">
        <f t="shared" si="2"/>
        <v>-301250</v>
      </c>
      <c r="Q51" s="7"/>
    </row>
    <row r="52" spans="1:17" x14ac:dyDescent="0.2">
      <c r="A52" s="6"/>
      <c r="C52" s="302" t="s">
        <v>470</v>
      </c>
      <c r="D52" s="301">
        <f>(Projections!T2)*-1</f>
        <v>-562.50000000000011</v>
      </c>
      <c r="E52" s="301">
        <f>(Projections!U2)*-1</f>
        <v>-146012.5</v>
      </c>
      <c r="F52" s="301">
        <f>(Projections!V2)*-1</f>
        <v>-562.50000000000011</v>
      </c>
      <c r="G52" s="301">
        <f>(Projections!W2)*-1</f>
        <v>-562.50000000000011</v>
      </c>
      <c r="H52" s="301">
        <f>(Projections!X2)*-1</f>
        <v>-2362.5</v>
      </c>
      <c r="I52" s="301">
        <f>(Projections!Y2)*-1</f>
        <v>-144212.5</v>
      </c>
      <c r="J52" s="301">
        <f>(Projections!Z2)*-1</f>
        <v>-562.50000000000011</v>
      </c>
      <c r="K52" s="301">
        <f>(Projections!AA2)*-1</f>
        <v>-2362.5</v>
      </c>
      <c r="L52" s="301">
        <f>(Projections!AB2)*-1</f>
        <v>-562.50000000000011</v>
      </c>
      <c r="M52" s="301">
        <f>(Projections!AC2)*-1</f>
        <v>-562.50000000000011</v>
      </c>
      <c r="N52" s="301">
        <f>(Projections!AD2)*-1</f>
        <v>-2362.5</v>
      </c>
      <c r="O52" s="301">
        <f>(Projections!AE2)*-1</f>
        <v>-562.50000000000011</v>
      </c>
      <c r="P52" s="290">
        <f t="shared" si="2"/>
        <v>-301250</v>
      </c>
      <c r="Q52" s="7"/>
    </row>
    <row r="53" spans="1:17" x14ac:dyDescent="0.2">
      <c r="A53" s="6"/>
      <c r="C53" s="303" t="s">
        <v>471</v>
      </c>
      <c r="D53" s="291">
        <f>+($D$6*$D$7/100/12)*-1</f>
        <v>0</v>
      </c>
      <c r="E53" s="291">
        <f>+(($D$6+SUM(D62:D62))*$D$7/100/12)*-1</f>
        <v>0</v>
      </c>
      <c r="F53" s="291">
        <f>+(($D$6+SUM(D62:E62))*$D$7/100/12)*-1</f>
        <v>0</v>
      </c>
      <c r="G53" s="291">
        <f>+(($D$6+SUM(D62:F62))*$D$7/100/12)*-1</f>
        <v>0</v>
      </c>
      <c r="H53" s="291">
        <f>+(($D$6+SUM(D62:G62))*$D$7/100/12)*-1</f>
        <v>0</v>
      </c>
      <c r="I53" s="291">
        <f>+(($D$6+SUM(D62:H62))*$D$7/100/12)*-1</f>
        <v>0</v>
      </c>
      <c r="J53" s="291">
        <f>+(($D$6+SUM(D62:I62))*$D$7/100/12)*-1</f>
        <v>0</v>
      </c>
      <c r="K53" s="291">
        <f>+(($D$6+SUM(D62:J62))*$D$7/100/12)*-1</f>
        <v>0</v>
      </c>
      <c r="L53" s="291">
        <f>+(($D$6+SUM(D62:K62))*$D$7/100/12)*-1</f>
        <v>0</v>
      </c>
      <c r="M53" s="291">
        <f>+(($D$6+SUM(D62:L62))*$D$7/100/12)*-1</f>
        <v>0</v>
      </c>
      <c r="N53" s="291">
        <f>+(($D$6+SUM(D62:M62))*$D$7/100/12)*-1</f>
        <v>0</v>
      </c>
      <c r="O53" s="291">
        <f>+(($D$6+SUM(D62:N62))*$D$7/100/12)*-1</f>
        <v>0</v>
      </c>
      <c r="P53" s="291">
        <f t="shared" si="2"/>
        <v>0</v>
      </c>
      <c r="Q53" s="7"/>
    </row>
    <row r="54" spans="1:17" x14ac:dyDescent="0.2">
      <c r="A54" s="6"/>
      <c r="C54" s="298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7"/>
    </row>
    <row r="55" spans="1:17" x14ac:dyDescent="0.2">
      <c r="A55" s="6"/>
      <c r="P55" s="310"/>
      <c r="Q55" s="7"/>
    </row>
    <row r="56" spans="1:17" x14ac:dyDescent="0.2">
      <c r="A56" s="6"/>
      <c r="C56" s="66" t="s">
        <v>472</v>
      </c>
      <c r="D56" s="292">
        <f>(D51+D37)</f>
        <v>-60914.5</v>
      </c>
      <c r="E56" s="292">
        <f t="shared" ref="E56:O56" si="5">(E51+E37)</f>
        <v>-206364.5</v>
      </c>
      <c r="F56" s="292">
        <f t="shared" si="5"/>
        <v>-60914.5</v>
      </c>
      <c r="G56" s="292">
        <f t="shared" si="5"/>
        <v>-60914.5</v>
      </c>
      <c r="H56" s="292">
        <f t="shared" si="5"/>
        <v>-62714.5</v>
      </c>
      <c r="I56" s="292">
        <f t="shared" si="5"/>
        <v>-239564.5</v>
      </c>
      <c r="J56" s="292">
        <f t="shared" si="5"/>
        <v>-60914.5</v>
      </c>
      <c r="K56" s="292">
        <f t="shared" si="5"/>
        <v>-62714.5</v>
      </c>
      <c r="L56" s="292">
        <f t="shared" si="5"/>
        <v>-60914.5</v>
      </c>
      <c r="M56" s="292">
        <f t="shared" si="5"/>
        <v>-60914.5</v>
      </c>
      <c r="N56" s="292">
        <f t="shared" si="5"/>
        <v>-62714.5</v>
      </c>
      <c r="O56" s="292">
        <f t="shared" si="5"/>
        <v>-95914.5</v>
      </c>
      <c r="P56" s="291">
        <f t="shared" si="2"/>
        <v>-1095474</v>
      </c>
      <c r="Q56" s="7"/>
    </row>
    <row r="57" spans="1:17" x14ac:dyDescent="0.2">
      <c r="A57" s="6"/>
      <c r="C57" s="66" t="s">
        <v>474</v>
      </c>
      <c r="D57" s="292">
        <f>(D14+D56)</f>
        <v>59685.5</v>
      </c>
      <c r="E57" s="292">
        <f>(E14+E56)</f>
        <v>-105864.5</v>
      </c>
      <c r="F57" s="292">
        <f>(F14+F56)</f>
        <v>39585.5</v>
      </c>
      <c r="G57" s="292">
        <f t="shared" ref="G57:O57" si="6">(G14+G56)</f>
        <v>39585.5</v>
      </c>
      <c r="H57" s="292">
        <f t="shared" si="6"/>
        <v>238785.5</v>
      </c>
      <c r="I57" s="292">
        <f t="shared" si="6"/>
        <v>61935.5</v>
      </c>
      <c r="J57" s="292">
        <f t="shared" si="6"/>
        <v>240585.5</v>
      </c>
      <c r="K57" s="292">
        <f t="shared" si="6"/>
        <v>238785.5</v>
      </c>
      <c r="L57" s="292">
        <f t="shared" si="6"/>
        <v>39585.5</v>
      </c>
      <c r="M57" s="292">
        <f t="shared" si="6"/>
        <v>39585.5</v>
      </c>
      <c r="N57" s="292">
        <f t="shared" si="6"/>
        <v>37785.5</v>
      </c>
      <c r="O57" s="292">
        <f t="shared" si="6"/>
        <v>4585.5</v>
      </c>
      <c r="P57" s="292">
        <f t="shared" si="2"/>
        <v>934626</v>
      </c>
      <c r="Q57" s="7"/>
    </row>
    <row r="58" spans="1:17" x14ac:dyDescent="0.2">
      <c r="A58" s="6"/>
      <c r="C58" s="66" t="s">
        <v>480</v>
      </c>
      <c r="D58" s="292"/>
      <c r="E58" s="292"/>
      <c r="F58" s="292"/>
      <c r="G58" s="292"/>
      <c r="H58" s="292"/>
      <c r="I58" s="292">
        <f>(SUM($P$20:$P$31)*0.5*0.5)+(SUM('Cash Flow - Year 7'!$P$20:$P$31)*0.3*0.5)+(SUM('Cash Flow - Year 6'!$P$20:$P$31)*0.2*0.5)</f>
        <v>0</v>
      </c>
      <c r="J58" s="292"/>
      <c r="K58" s="292"/>
      <c r="L58" s="292"/>
      <c r="M58" s="292"/>
      <c r="N58" s="292"/>
      <c r="O58" s="292">
        <f>(SUM($P$20:$P$31)*0.5*0.5)+(SUM('Cash Flow - Year 7'!$P$20:$P$31)*0.3*0.5)+(SUM('Cash Flow - Year 6'!$P$20:$P$31)*0.2*0.5)</f>
        <v>0</v>
      </c>
      <c r="P58" s="292">
        <f t="shared" si="2"/>
        <v>0</v>
      </c>
      <c r="Q58" s="7"/>
    </row>
    <row r="59" spans="1:17" x14ac:dyDescent="0.2">
      <c r="A59" s="6"/>
      <c r="C59" s="66" t="s">
        <v>481</v>
      </c>
      <c r="D59" s="292">
        <f t="shared" ref="D59:O59" si="7">(D57+D58)</f>
        <v>59685.5</v>
      </c>
      <c r="E59" s="292">
        <f t="shared" si="7"/>
        <v>-105864.5</v>
      </c>
      <c r="F59" s="292">
        <f t="shared" si="7"/>
        <v>39585.5</v>
      </c>
      <c r="G59" s="292">
        <f t="shared" si="7"/>
        <v>39585.5</v>
      </c>
      <c r="H59" s="292">
        <f t="shared" si="7"/>
        <v>238785.5</v>
      </c>
      <c r="I59" s="292">
        <f t="shared" si="7"/>
        <v>61935.5</v>
      </c>
      <c r="J59" s="292">
        <f t="shared" si="7"/>
        <v>240585.5</v>
      </c>
      <c r="K59" s="292">
        <f t="shared" si="7"/>
        <v>238785.5</v>
      </c>
      <c r="L59" s="292">
        <f t="shared" si="7"/>
        <v>39585.5</v>
      </c>
      <c r="M59" s="292">
        <f t="shared" si="7"/>
        <v>39585.5</v>
      </c>
      <c r="N59" s="292">
        <f t="shared" si="7"/>
        <v>37785.5</v>
      </c>
      <c r="O59" s="292">
        <f t="shared" si="7"/>
        <v>4585.5</v>
      </c>
      <c r="P59" s="292">
        <f t="shared" si="2"/>
        <v>934626</v>
      </c>
      <c r="Q59" s="7"/>
    </row>
    <row r="60" spans="1:17" x14ac:dyDescent="0.2">
      <c r="A60" s="6"/>
      <c r="C60" s="66" t="s">
        <v>482</v>
      </c>
      <c r="D60" s="292">
        <f>(D59*($D$9/100))*-1</f>
        <v>0</v>
      </c>
      <c r="E60" s="292">
        <f>(E59*($D$9/100))*-1</f>
        <v>0</v>
      </c>
      <c r="F60" s="292">
        <f>(F59*($D$9/100))*-1</f>
        <v>0</v>
      </c>
      <c r="G60" s="292">
        <f t="shared" ref="G60:O60" si="8">(G59*($D$9/100))*-1</f>
        <v>0</v>
      </c>
      <c r="H60" s="292">
        <f t="shared" si="8"/>
        <v>0</v>
      </c>
      <c r="I60" s="292">
        <f t="shared" si="8"/>
        <v>0</v>
      </c>
      <c r="J60" s="292">
        <f t="shared" si="8"/>
        <v>0</v>
      </c>
      <c r="K60" s="292">
        <f t="shared" si="8"/>
        <v>0</v>
      </c>
      <c r="L60" s="292">
        <f t="shared" si="8"/>
        <v>0</v>
      </c>
      <c r="M60" s="292">
        <f t="shared" si="8"/>
        <v>0</v>
      </c>
      <c r="N60" s="292">
        <f t="shared" si="8"/>
        <v>0</v>
      </c>
      <c r="O60" s="292">
        <f t="shared" si="8"/>
        <v>0</v>
      </c>
      <c r="P60" s="292">
        <f t="shared" si="2"/>
        <v>0</v>
      </c>
      <c r="Q60" s="7"/>
    </row>
    <row r="61" spans="1:17" x14ac:dyDescent="0.2">
      <c r="A61" s="6"/>
      <c r="C61" s="66" t="s">
        <v>483</v>
      </c>
      <c r="D61" s="292">
        <f t="shared" ref="D61:O61" si="9">(D59+(D60))</f>
        <v>59685.5</v>
      </c>
      <c r="E61" s="292">
        <f t="shared" si="9"/>
        <v>-105864.5</v>
      </c>
      <c r="F61" s="292">
        <f t="shared" si="9"/>
        <v>39585.5</v>
      </c>
      <c r="G61" s="292">
        <f t="shared" si="9"/>
        <v>39585.5</v>
      </c>
      <c r="H61" s="292">
        <f t="shared" si="9"/>
        <v>238785.5</v>
      </c>
      <c r="I61" s="292">
        <f t="shared" si="9"/>
        <v>61935.5</v>
      </c>
      <c r="J61" s="292">
        <f t="shared" si="9"/>
        <v>240585.5</v>
      </c>
      <c r="K61" s="292">
        <f t="shared" si="9"/>
        <v>238785.5</v>
      </c>
      <c r="L61" s="292">
        <f t="shared" si="9"/>
        <v>39585.5</v>
      </c>
      <c r="M61" s="292">
        <f t="shared" si="9"/>
        <v>39585.5</v>
      </c>
      <c r="N61" s="292">
        <f t="shared" si="9"/>
        <v>37785.5</v>
      </c>
      <c r="O61" s="292">
        <f t="shared" si="9"/>
        <v>4585.5</v>
      </c>
      <c r="P61" s="292">
        <f t="shared" si="2"/>
        <v>934626</v>
      </c>
      <c r="Q61" s="7"/>
    </row>
    <row r="62" spans="1:17" ht="13.5" thickBot="1" x14ac:dyDescent="0.25">
      <c r="A62" s="6"/>
      <c r="C62" s="311" t="s">
        <v>475</v>
      </c>
      <c r="D62" s="301">
        <f>+($D$6/($D$8*12))*-1</f>
        <v>0</v>
      </c>
      <c r="E62" s="301">
        <f>+($D$6/($D$8*12))*-1</f>
        <v>0</v>
      </c>
      <c r="F62" s="301">
        <f>+($D$6/($D$8*12))*-1</f>
        <v>0</v>
      </c>
      <c r="G62" s="301">
        <f t="shared" ref="G62:O62" si="10">+($D$6/($D$8*12))*-1</f>
        <v>0</v>
      </c>
      <c r="H62" s="301">
        <f t="shared" si="10"/>
        <v>0</v>
      </c>
      <c r="I62" s="301">
        <f t="shared" si="10"/>
        <v>0</v>
      </c>
      <c r="J62" s="301">
        <f t="shared" si="10"/>
        <v>0</v>
      </c>
      <c r="K62" s="301">
        <f t="shared" si="10"/>
        <v>0</v>
      </c>
      <c r="L62" s="301">
        <f t="shared" si="10"/>
        <v>0</v>
      </c>
      <c r="M62" s="301">
        <f t="shared" si="10"/>
        <v>0</v>
      </c>
      <c r="N62" s="301">
        <f t="shared" si="10"/>
        <v>0</v>
      </c>
      <c r="O62" s="301">
        <f t="shared" si="10"/>
        <v>0</v>
      </c>
      <c r="P62" s="301">
        <f t="shared" si="2"/>
        <v>0</v>
      </c>
      <c r="Q62" s="7"/>
    </row>
    <row r="63" spans="1:17" ht="13.5" thickBot="1" x14ac:dyDescent="0.25">
      <c r="A63" s="6"/>
      <c r="C63" s="258" t="s">
        <v>484</v>
      </c>
      <c r="D63" s="313">
        <f t="shared" ref="D63:O63" si="11">(D57+D60+D62)</f>
        <v>59685.5</v>
      </c>
      <c r="E63" s="313">
        <f t="shared" si="11"/>
        <v>-105864.5</v>
      </c>
      <c r="F63" s="313">
        <f t="shared" si="11"/>
        <v>39585.5</v>
      </c>
      <c r="G63" s="313">
        <f t="shared" si="11"/>
        <v>39585.5</v>
      </c>
      <c r="H63" s="313">
        <f t="shared" si="11"/>
        <v>238785.5</v>
      </c>
      <c r="I63" s="313">
        <f t="shared" si="11"/>
        <v>61935.5</v>
      </c>
      <c r="J63" s="313">
        <f t="shared" si="11"/>
        <v>240585.5</v>
      </c>
      <c r="K63" s="313">
        <f t="shared" si="11"/>
        <v>238785.5</v>
      </c>
      <c r="L63" s="313">
        <f t="shared" si="11"/>
        <v>39585.5</v>
      </c>
      <c r="M63" s="313">
        <f t="shared" si="11"/>
        <v>39585.5</v>
      </c>
      <c r="N63" s="313">
        <f t="shared" si="11"/>
        <v>37785.5</v>
      </c>
      <c r="O63" s="313">
        <f t="shared" si="11"/>
        <v>4585.5</v>
      </c>
      <c r="P63" s="314">
        <f t="shared" si="2"/>
        <v>934626</v>
      </c>
      <c r="Q63" s="7"/>
    </row>
    <row r="64" spans="1:17" x14ac:dyDescent="0.2">
      <c r="A64" s="6"/>
      <c r="C64" s="265" t="s">
        <v>486</v>
      </c>
      <c r="D64" s="291">
        <f>('Cash Flow - Year 7'!P65)</f>
        <v>3519011.6753249266</v>
      </c>
      <c r="E64" s="291">
        <f>(D65)</f>
        <v>3578697.1753249266</v>
      </c>
      <c r="F64" s="291">
        <f>(E65)</f>
        <v>3472832.6753249266</v>
      </c>
      <c r="G64" s="291">
        <f t="shared" ref="G64:O64" si="12">(F65)</f>
        <v>3512418.1753249266</v>
      </c>
      <c r="H64" s="291">
        <f t="shared" si="12"/>
        <v>3552003.6753249266</v>
      </c>
      <c r="I64" s="291">
        <f t="shared" si="12"/>
        <v>3790789.1753249266</v>
      </c>
      <c r="J64" s="291">
        <f t="shared" si="12"/>
        <v>3852724.6753249266</v>
      </c>
      <c r="K64" s="291">
        <f t="shared" si="12"/>
        <v>4093310.1753249266</v>
      </c>
      <c r="L64" s="291">
        <f t="shared" si="12"/>
        <v>4332095.6753249262</v>
      </c>
      <c r="M64" s="291">
        <f t="shared" si="12"/>
        <v>4371681.1753249262</v>
      </c>
      <c r="N64" s="291">
        <f t="shared" si="12"/>
        <v>4411266.6753249262</v>
      </c>
      <c r="O64" s="291">
        <f t="shared" si="12"/>
        <v>4449052.1753249262</v>
      </c>
      <c r="P64" s="46"/>
      <c r="Q64" s="7"/>
    </row>
    <row r="65" spans="1:17" ht="13.5" thickBot="1" x14ac:dyDescent="0.25">
      <c r="A65" s="6"/>
      <c r="C65" s="317" t="s">
        <v>487</v>
      </c>
      <c r="D65" s="301">
        <f t="shared" ref="D65:O65" si="13">(D63+D64)</f>
        <v>3578697.1753249266</v>
      </c>
      <c r="E65" s="301">
        <f t="shared" si="13"/>
        <v>3472832.6753249266</v>
      </c>
      <c r="F65" s="301">
        <f t="shared" si="13"/>
        <v>3512418.1753249266</v>
      </c>
      <c r="G65" s="301">
        <f t="shared" si="13"/>
        <v>3552003.6753249266</v>
      </c>
      <c r="H65" s="301">
        <f t="shared" si="13"/>
        <v>3790789.1753249266</v>
      </c>
      <c r="I65" s="301">
        <f t="shared" si="13"/>
        <v>3852724.6753249266</v>
      </c>
      <c r="J65" s="301">
        <f t="shared" si="13"/>
        <v>4093310.1753249266</v>
      </c>
      <c r="K65" s="301">
        <f t="shared" si="13"/>
        <v>4332095.6753249262</v>
      </c>
      <c r="L65" s="301">
        <f t="shared" si="13"/>
        <v>4371681.1753249262</v>
      </c>
      <c r="M65" s="301">
        <f t="shared" si="13"/>
        <v>4411266.6753249262</v>
      </c>
      <c r="N65" s="301">
        <f t="shared" si="13"/>
        <v>4449052.1753249262</v>
      </c>
      <c r="O65" s="301">
        <f t="shared" si="13"/>
        <v>4453637.6753249262</v>
      </c>
      <c r="P65" s="301">
        <f>(O65)*1.15</f>
        <v>5121683.3266236642</v>
      </c>
      <c r="Q65" s="7"/>
    </row>
    <row r="66" spans="1:17" x14ac:dyDescent="0.2">
      <c r="A66" s="6"/>
      <c r="C66" s="272" t="s">
        <v>489</v>
      </c>
      <c r="D66" s="318">
        <f>(D60)</f>
        <v>0</v>
      </c>
      <c r="E66" s="318">
        <f>(D66+E60)</f>
        <v>0</v>
      </c>
      <c r="F66" s="318">
        <f t="shared" ref="F66:O66" si="14">(E66+F60)</f>
        <v>0</v>
      </c>
      <c r="G66" s="318">
        <f t="shared" si="14"/>
        <v>0</v>
      </c>
      <c r="H66" s="318">
        <f t="shared" si="14"/>
        <v>0</v>
      </c>
      <c r="I66" s="318">
        <f t="shared" si="14"/>
        <v>0</v>
      </c>
      <c r="J66" s="318">
        <f t="shared" si="14"/>
        <v>0</v>
      </c>
      <c r="K66" s="318">
        <f t="shared" si="14"/>
        <v>0</v>
      </c>
      <c r="L66" s="318">
        <f t="shared" si="14"/>
        <v>0</v>
      </c>
      <c r="M66" s="318">
        <f t="shared" si="14"/>
        <v>0</v>
      </c>
      <c r="N66" s="318">
        <f t="shared" si="14"/>
        <v>0</v>
      </c>
      <c r="O66" s="318">
        <f t="shared" si="14"/>
        <v>0</v>
      </c>
      <c r="P66" s="319">
        <f>(O66)</f>
        <v>0</v>
      </c>
      <c r="Q66" s="7"/>
    </row>
    <row r="67" spans="1:17" ht="13.5" thickBot="1" x14ac:dyDescent="0.25">
      <c r="A67" s="6"/>
      <c r="C67" s="257" t="s">
        <v>488</v>
      </c>
      <c r="D67" s="255"/>
      <c r="E67" s="255"/>
      <c r="F67" s="255"/>
      <c r="G67" s="255"/>
      <c r="H67" s="255"/>
      <c r="I67" s="320">
        <f>(P66/2)</f>
        <v>0</v>
      </c>
      <c r="J67" s="255"/>
      <c r="K67" s="255"/>
      <c r="L67" s="255"/>
      <c r="M67" s="255"/>
      <c r="N67" s="255"/>
      <c r="O67" s="320">
        <f>(O66-I67)</f>
        <v>0</v>
      </c>
      <c r="P67" s="323">
        <f>(O67+I67)</f>
        <v>0</v>
      </c>
      <c r="Q67" s="7"/>
    </row>
    <row r="68" spans="1:17" ht="13.5" thickBot="1" x14ac:dyDescent="0.25">
      <c r="A68" s="26"/>
      <c r="B68" s="27"/>
      <c r="C68" s="27"/>
      <c r="D68" s="31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>
    <pageSetUpPr fitToPage="1"/>
  </sheetPr>
  <dimension ref="A1:L66"/>
  <sheetViews>
    <sheetView workbookViewId="0">
      <selection activeCell="D8" sqref="D8"/>
    </sheetView>
  </sheetViews>
  <sheetFormatPr defaultRowHeight="12.75" x14ac:dyDescent="0.2"/>
  <cols>
    <col min="1" max="1" width="1.42578125" customWidth="1"/>
    <col min="2" max="2" width="1.7109375" customWidth="1"/>
    <col min="3" max="3" width="43.7109375" customWidth="1"/>
    <col min="4" max="11" width="13.7109375" customWidth="1"/>
    <col min="12" max="12" width="2.5703125" customWidth="1"/>
    <col min="13" max="28" width="19.7109375" customWidth="1"/>
  </cols>
  <sheetData>
    <row r="1" spans="1:12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">
      <c r="A2" s="6"/>
      <c r="B2" s="24" t="s">
        <v>499</v>
      </c>
      <c r="C2" s="41"/>
      <c r="D2" s="41"/>
      <c r="E2" s="41"/>
      <c r="F2" s="41"/>
      <c r="G2" s="41"/>
      <c r="H2" s="41"/>
      <c r="I2" s="41"/>
      <c r="J2" s="41"/>
      <c r="K2" s="25" t="s">
        <v>513</v>
      </c>
      <c r="L2" s="7"/>
    </row>
    <row r="3" spans="1:12" ht="13.5" thickBot="1" x14ac:dyDescent="0.25">
      <c r="A3" s="6"/>
      <c r="L3" s="7"/>
    </row>
    <row r="4" spans="1:12" ht="13.5" thickBot="1" x14ac:dyDescent="0.25">
      <c r="A4" s="6"/>
      <c r="C4" s="43" t="s">
        <v>461</v>
      </c>
      <c r="L4" s="7"/>
    </row>
    <row r="5" spans="1:12" x14ac:dyDescent="0.2">
      <c r="A5" s="6"/>
      <c r="L5" s="7"/>
    </row>
    <row r="6" spans="1:12" x14ac:dyDescent="0.2">
      <c r="A6" s="6"/>
      <c r="C6" s="88" t="s">
        <v>473</v>
      </c>
      <c r="D6">
        <v>200000</v>
      </c>
      <c r="L6" s="7"/>
    </row>
    <row r="7" spans="1:12" x14ac:dyDescent="0.2">
      <c r="A7" s="6"/>
      <c r="C7" s="88" t="s">
        <v>479</v>
      </c>
      <c r="D7">
        <v>15</v>
      </c>
      <c r="L7" s="7"/>
    </row>
    <row r="8" spans="1:12" x14ac:dyDescent="0.2">
      <c r="A8" s="6"/>
      <c r="C8" s="88" t="s">
        <v>485</v>
      </c>
      <c r="D8">
        <v>2</v>
      </c>
      <c r="L8" s="7"/>
    </row>
    <row r="9" spans="1:12" x14ac:dyDescent="0.2">
      <c r="A9" s="6"/>
      <c r="C9" s="88" t="s">
        <v>476</v>
      </c>
      <c r="D9">
        <v>0</v>
      </c>
      <c r="L9" s="7"/>
    </row>
    <row r="10" spans="1:12" ht="13.5" thickBot="1" x14ac:dyDescent="0.25">
      <c r="A10" s="6"/>
      <c r="L10" s="7"/>
    </row>
    <row r="11" spans="1:12" ht="13.5" thickBot="1" x14ac:dyDescent="0.25">
      <c r="A11" s="6"/>
      <c r="C11" s="258" t="s">
        <v>234</v>
      </c>
      <c r="D11" s="328" t="s">
        <v>490</v>
      </c>
      <c r="E11" s="328" t="s">
        <v>491</v>
      </c>
      <c r="F11" s="328" t="s">
        <v>492</v>
      </c>
      <c r="G11" s="328" t="s">
        <v>493</v>
      </c>
      <c r="H11" s="328" t="s">
        <v>494</v>
      </c>
      <c r="I11" s="328" t="s">
        <v>495</v>
      </c>
      <c r="J11" s="328" t="s">
        <v>496</v>
      </c>
      <c r="K11" s="329" t="s">
        <v>497</v>
      </c>
      <c r="L11" s="7"/>
    </row>
    <row r="12" spans="1:12" x14ac:dyDescent="0.2">
      <c r="A12" s="6"/>
      <c r="C12" s="1"/>
      <c r="L12" s="7"/>
    </row>
    <row r="13" spans="1:12" x14ac:dyDescent="0.2">
      <c r="A13" s="6"/>
      <c r="C13" s="295" t="s">
        <v>462</v>
      </c>
      <c r="D13" s="312">
        <f>('Cash Flow - Year 1'!P14)</f>
        <v>2030100</v>
      </c>
      <c r="E13" s="312">
        <f>('Cash Flow - Year 2'!P14)</f>
        <v>2030100</v>
      </c>
      <c r="F13" s="312">
        <f>('Cash Flow - Year 3'!P14)</f>
        <v>2030100</v>
      </c>
      <c r="G13" s="312">
        <f>('Cash Flow - Year 4'!P14)</f>
        <v>2030100</v>
      </c>
      <c r="H13" s="312">
        <f>('Cash Flow - Year 5'!P14)</f>
        <v>2030100</v>
      </c>
      <c r="I13" s="312">
        <f>('Cash Flow - Year 6'!P14)</f>
        <v>2030100</v>
      </c>
      <c r="J13" s="312">
        <f>('Cash Flow - Year 7'!P14)</f>
        <v>2030100</v>
      </c>
      <c r="K13" s="312">
        <f>('Cash Flow - Year 8'!P14)</f>
        <v>2030100</v>
      </c>
      <c r="L13" s="7"/>
    </row>
    <row r="14" spans="1:12" x14ac:dyDescent="0.2">
      <c r="A14" s="6"/>
      <c r="C14" s="308" t="s">
        <v>463</v>
      </c>
      <c r="D14" s="301">
        <f>('Cash Flow - Year 1'!P15)</f>
        <v>676700</v>
      </c>
      <c r="E14" s="301">
        <f>('Cash Flow - Year 2'!P15)</f>
        <v>676700</v>
      </c>
      <c r="F14" s="301">
        <f>('Cash Flow - Year 3'!P15)</f>
        <v>676700</v>
      </c>
      <c r="G14" s="301">
        <f>('Cash Flow - Year 4'!P15)</f>
        <v>676700</v>
      </c>
      <c r="H14" s="301">
        <f>('Cash Flow - Year 5'!P15)</f>
        <v>676700</v>
      </c>
      <c r="I14" s="301">
        <f>('Cash Flow - Year 6'!P15)</f>
        <v>676700</v>
      </c>
      <c r="J14" s="301">
        <f>('Cash Flow - Year 7'!P15)</f>
        <v>676700</v>
      </c>
      <c r="K14" s="301">
        <f>('Cash Flow - Year 8'!P15)</f>
        <v>676700</v>
      </c>
      <c r="L14" s="7"/>
    </row>
    <row r="15" spans="1:12" x14ac:dyDescent="0.2">
      <c r="A15" s="6"/>
      <c r="C15" s="309" t="s">
        <v>464</v>
      </c>
      <c r="D15" s="291">
        <f>('Cash Flow - Year 1'!D16)</f>
        <v>3</v>
      </c>
      <c r="E15" s="291">
        <f>($D$15)</f>
        <v>3</v>
      </c>
      <c r="F15" s="291">
        <f t="shared" ref="F15:K15" si="0">($D$15)</f>
        <v>3</v>
      </c>
      <c r="G15" s="291">
        <f t="shared" si="0"/>
        <v>3</v>
      </c>
      <c r="H15" s="291">
        <f t="shared" si="0"/>
        <v>3</v>
      </c>
      <c r="I15" s="291">
        <f t="shared" si="0"/>
        <v>3</v>
      </c>
      <c r="J15" s="291">
        <f t="shared" si="0"/>
        <v>3</v>
      </c>
      <c r="K15" s="291">
        <f t="shared" si="0"/>
        <v>3</v>
      </c>
      <c r="L15" s="7"/>
    </row>
    <row r="16" spans="1:12" x14ac:dyDescent="0.2">
      <c r="A16" s="6"/>
      <c r="C16" s="297"/>
      <c r="D16" s="296"/>
      <c r="E16" s="296"/>
      <c r="F16" s="296"/>
      <c r="G16" s="296"/>
      <c r="H16" s="296"/>
      <c r="I16" s="296"/>
      <c r="J16" s="296"/>
      <c r="K16" s="296"/>
      <c r="L16" s="7"/>
    </row>
    <row r="17" spans="1:12" x14ac:dyDescent="0.2">
      <c r="A17" s="6"/>
      <c r="C17" s="1" t="s">
        <v>465</v>
      </c>
      <c r="D17" s="296"/>
      <c r="E17" s="296"/>
      <c r="F17" s="296"/>
      <c r="G17" s="296"/>
      <c r="H17" s="296"/>
      <c r="I17" s="296"/>
      <c r="J17" s="296"/>
      <c r="K17" s="296"/>
      <c r="L17" s="7"/>
    </row>
    <row r="18" spans="1:12" x14ac:dyDescent="0.2">
      <c r="A18" s="6"/>
      <c r="C18" s="298" t="s">
        <v>412</v>
      </c>
      <c r="D18" s="312">
        <f>('Cash Flow - Year 1'!P19)</f>
        <v>-2322928</v>
      </c>
      <c r="E18" s="312">
        <f>('Cash Flow - Year 2'!P19)</f>
        <v>0</v>
      </c>
      <c r="F18" s="312">
        <f>('Cash Flow - Year 3'!P19)</f>
        <v>0</v>
      </c>
      <c r="G18" s="312">
        <f>('Cash Flow - Year 4'!P19)</f>
        <v>0</v>
      </c>
      <c r="H18" s="312">
        <f>('Cash Flow - Year 5'!P19)</f>
        <v>0</v>
      </c>
      <c r="I18" s="312">
        <f>('Cash Flow - Year 6'!P19)</f>
        <v>0</v>
      </c>
      <c r="J18" s="312">
        <f>('Cash Flow - Year 7'!P19)</f>
        <v>0</v>
      </c>
      <c r="K18" s="312">
        <f>('Cash Flow - Year 8'!P19)</f>
        <v>0</v>
      </c>
      <c r="L18" s="7"/>
    </row>
    <row r="19" spans="1:12" x14ac:dyDescent="0.2">
      <c r="A19" s="6"/>
      <c r="C19" s="304" t="s">
        <v>415</v>
      </c>
      <c r="D19" s="301">
        <f>('Cash Flow - Year 1'!P20)</f>
        <v>-1500000</v>
      </c>
      <c r="E19" s="301">
        <f>('Cash Flow - Year 2'!P20)</f>
        <v>0</v>
      </c>
      <c r="F19" s="301">
        <f>('Cash Flow - Year 3'!P20)</f>
        <v>0</v>
      </c>
      <c r="G19" s="301">
        <f>('Cash Flow - Year 4'!P20)</f>
        <v>0</v>
      </c>
      <c r="H19" s="301">
        <f>('Cash Flow - Year 5'!P20)</f>
        <v>0</v>
      </c>
      <c r="I19" s="301">
        <f>('Cash Flow - Year 6'!P20)</f>
        <v>0</v>
      </c>
      <c r="J19" s="301">
        <f>('Cash Flow - Year 7'!P20)</f>
        <v>0</v>
      </c>
      <c r="K19" s="301">
        <f>('Cash Flow - Year 8'!P20)</f>
        <v>0</v>
      </c>
      <c r="L19" s="7"/>
    </row>
    <row r="20" spans="1:12" x14ac:dyDescent="0.2">
      <c r="A20" s="6"/>
      <c r="C20" s="305" t="s">
        <v>416</v>
      </c>
      <c r="D20" s="290">
        <f>('Cash Flow - Year 1'!P21)</f>
        <v>-251528</v>
      </c>
      <c r="E20" s="290">
        <f>('Cash Flow - Year 2'!P21)</f>
        <v>0</v>
      </c>
      <c r="F20" s="290">
        <f>('Cash Flow - Year 3'!P21)</f>
        <v>0</v>
      </c>
      <c r="G20" s="290">
        <f>('Cash Flow - Year 4'!P21)</f>
        <v>0</v>
      </c>
      <c r="H20" s="290">
        <f>('Cash Flow - Year 5'!P21)</f>
        <v>0</v>
      </c>
      <c r="I20" s="290">
        <f>('Cash Flow - Year 6'!P21)</f>
        <v>0</v>
      </c>
      <c r="J20" s="290">
        <f>('Cash Flow - Year 7'!P21)</f>
        <v>0</v>
      </c>
      <c r="K20" s="290">
        <f>('Cash Flow - Year 8'!P21)</f>
        <v>0</v>
      </c>
      <c r="L20" s="7"/>
    </row>
    <row r="21" spans="1:12" x14ac:dyDescent="0.2">
      <c r="A21" s="6"/>
      <c r="C21" s="305" t="s">
        <v>418</v>
      </c>
      <c r="D21" s="290">
        <f>('Cash Flow - Year 1'!P22)</f>
        <v>-381000</v>
      </c>
      <c r="E21" s="290">
        <f>('Cash Flow - Year 2'!P22)</f>
        <v>0</v>
      </c>
      <c r="F21" s="290">
        <f>('Cash Flow - Year 3'!P22)</f>
        <v>0</v>
      </c>
      <c r="G21" s="290">
        <f>('Cash Flow - Year 4'!P22)</f>
        <v>0</v>
      </c>
      <c r="H21" s="290">
        <f>('Cash Flow - Year 5'!P22)</f>
        <v>0</v>
      </c>
      <c r="I21" s="290">
        <f>('Cash Flow - Year 6'!P22)</f>
        <v>0</v>
      </c>
      <c r="J21" s="290">
        <f>('Cash Flow - Year 7'!P22)</f>
        <v>0</v>
      </c>
      <c r="K21" s="290">
        <f>('Cash Flow - Year 8'!P22)</f>
        <v>0</v>
      </c>
      <c r="L21" s="7"/>
    </row>
    <row r="22" spans="1:12" x14ac:dyDescent="0.2">
      <c r="A22" s="6"/>
      <c r="C22" s="305" t="s">
        <v>417</v>
      </c>
      <c r="D22" s="290">
        <f>('Cash Flow - Year 1'!P23)</f>
        <v>0</v>
      </c>
      <c r="E22" s="290">
        <f>('Cash Flow - Year 2'!P23)</f>
        <v>0</v>
      </c>
      <c r="F22" s="290">
        <f>('Cash Flow - Year 3'!P23)</f>
        <v>0</v>
      </c>
      <c r="G22" s="290">
        <f>('Cash Flow - Year 4'!P23)</f>
        <v>0</v>
      </c>
      <c r="H22" s="290">
        <f>('Cash Flow - Year 5'!P23)</f>
        <v>0</v>
      </c>
      <c r="I22" s="290">
        <f>('Cash Flow - Year 6'!P23)</f>
        <v>0</v>
      </c>
      <c r="J22" s="290">
        <f>('Cash Flow - Year 7'!P23)</f>
        <v>0</v>
      </c>
      <c r="K22" s="290">
        <f>('Cash Flow - Year 8'!P23)</f>
        <v>0</v>
      </c>
      <c r="L22" s="7"/>
    </row>
    <row r="23" spans="1:12" x14ac:dyDescent="0.2">
      <c r="A23" s="6"/>
      <c r="C23" s="305" t="s">
        <v>419</v>
      </c>
      <c r="D23" s="290">
        <f>('Cash Flow - Year 1'!P24)</f>
        <v>0</v>
      </c>
      <c r="E23" s="290">
        <f>('Cash Flow - Year 2'!P24)</f>
        <v>0</v>
      </c>
      <c r="F23" s="290">
        <f>('Cash Flow - Year 3'!P24)</f>
        <v>0</v>
      </c>
      <c r="G23" s="290">
        <f>('Cash Flow - Year 4'!P24)</f>
        <v>0</v>
      </c>
      <c r="H23" s="290">
        <f>('Cash Flow - Year 5'!P24)</f>
        <v>0</v>
      </c>
      <c r="I23" s="290">
        <f>('Cash Flow - Year 6'!P24)</f>
        <v>0</v>
      </c>
      <c r="J23" s="290">
        <f>('Cash Flow - Year 7'!P24)</f>
        <v>0</v>
      </c>
      <c r="K23" s="290">
        <f>('Cash Flow - Year 8'!P24)</f>
        <v>0</v>
      </c>
      <c r="L23" s="7"/>
    </row>
    <row r="24" spans="1:12" x14ac:dyDescent="0.2">
      <c r="A24" s="6"/>
      <c r="C24" s="305" t="s">
        <v>420</v>
      </c>
      <c r="D24" s="290">
        <f>('Cash Flow - Year 1'!P25)</f>
        <v>0</v>
      </c>
      <c r="E24" s="290">
        <f>('Cash Flow - Year 2'!P25)</f>
        <v>0</v>
      </c>
      <c r="F24" s="290">
        <f>('Cash Flow - Year 3'!P25)</f>
        <v>0</v>
      </c>
      <c r="G24" s="290">
        <f>('Cash Flow - Year 4'!P25)</f>
        <v>0</v>
      </c>
      <c r="H24" s="290">
        <f>('Cash Flow - Year 5'!P25)</f>
        <v>0</v>
      </c>
      <c r="I24" s="290">
        <f>('Cash Flow - Year 6'!P25)</f>
        <v>0</v>
      </c>
      <c r="J24" s="290">
        <f>('Cash Flow - Year 7'!P25)</f>
        <v>0</v>
      </c>
      <c r="K24" s="290">
        <f>('Cash Flow - Year 8'!P25)</f>
        <v>0</v>
      </c>
      <c r="L24" s="7"/>
    </row>
    <row r="25" spans="1:12" x14ac:dyDescent="0.2">
      <c r="A25" s="6"/>
      <c r="C25" s="305" t="s">
        <v>421</v>
      </c>
      <c r="D25" s="290">
        <f>('Cash Flow - Year 1'!P26)</f>
        <v>0</v>
      </c>
      <c r="E25" s="290">
        <f>('Cash Flow - Year 2'!P26)</f>
        <v>0</v>
      </c>
      <c r="F25" s="290">
        <f>('Cash Flow - Year 3'!P26)</f>
        <v>0</v>
      </c>
      <c r="G25" s="290">
        <f>('Cash Flow - Year 4'!P26)</f>
        <v>0</v>
      </c>
      <c r="H25" s="290">
        <f>('Cash Flow - Year 5'!P26)</f>
        <v>0</v>
      </c>
      <c r="I25" s="290">
        <f>('Cash Flow - Year 6'!P26)</f>
        <v>0</v>
      </c>
      <c r="J25" s="290">
        <f>('Cash Flow - Year 7'!P26)</f>
        <v>0</v>
      </c>
      <c r="K25" s="290">
        <f>('Cash Flow - Year 8'!P26)</f>
        <v>0</v>
      </c>
      <c r="L25" s="7"/>
    </row>
    <row r="26" spans="1:12" x14ac:dyDescent="0.2">
      <c r="A26" s="6"/>
      <c r="C26" s="305" t="s">
        <v>422</v>
      </c>
      <c r="D26" s="290">
        <f>('Cash Flow - Year 1'!P27)</f>
        <v>0</v>
      </c>
      <c r="E26" s="290">
        <f>('Cash Flow - Year 2'!P27)</f>
        <v>0</v>
      </c>
      <c r="F26" s="290">
        <f>('Cash Flow - Year 3'!P27)</f>
        <v>0</v>
      </c>
      <c r="G26" s="290">
        <f>('Cash Flow - Year 4'!P27)</f>
        <v>0</v>
      </c>
      <c r="H26" s="290">
        <f>('Cash Flow - Year 5'!P27)</f>
        <v>0</v>
      </c>
      <c r="I26" s="290">
        <f>('Cash Flow - Year 6'!P27)</f>
        <v>0</v>
      </c>
      <c r="J26" s="290">
        <f>('Cash Flow - Year 7'!P27)</f>
        <v>0</v>
      </c>
      <c r="K26" s="290">
        <f>('Cash Flow - Year 8'!P27)</f>
        <v>0</v>
      </c>
      <c r="L26" s="7"/>
    </row>
    <row r="27" spans="1:12" x14ac:dyDescent="0.2">
      <c r="A27" s="6"/>
      <c r="C27" s="305" t="s">
        <v>423</v>
      </c>
      <c r="D27" s="290">
        <f>('Cash Flow - Year 1'!P28)</f>
        <v>0</v>
      </c>
      <c r="E27" s="290">
        <f>('Cash Flow - Year 2'!P28)</f>
        <v>0</v>
      </c>
      <c r="F27" s="290">
        <f>('Cash Flow - Year 3'!P28)</f>
        <v>0</v>
      </c>
      <c r="G27" s="290">
        <f>('Cash Flow - Year 4'!P28)</f>
        <v>0</v>
      </c>
      <c r="H27" s="290">
        <f>('Cash Flow - Year 5'!P28)</f>
        <v>0</v>
      </c>
      <c r="I27" s="290">
        <f>('Cash Flow - Year 6'!P28)</f>
        <v>0</v>
      </c>
      <c r="J27" s="290">
        <f>('Cash Flow - Year 7'!P28)</f>
        <v>0</v>
      </c>
      <c r="K27" s="290">
        <f>('Cash Flow - Year 8'!P28)</f>
        <v>0</v>
      </c>
      <c r="L27" s="7"/>
    </row>
    <row r="28" spans="1:12" x14ac:dyDescent="0.2">
      <c r="A28" s="6"/>
      <c r="C28" s="307" t="s">
        <v>424</v>
      </c>
      <c r="D28" s="290">
        <f>('Cash Flow - Year 1'!P29)</f>
        <v>0</v>
      </c>
      <c r="E28" s="290">
        <f>('Cash Flow - Year 2'!P29)</f>
        <v>0</v>
      </c>
      <c r="F28" s="290">
        <f>('Cash Flow - Year 3'!P29)</f>
        <v>0</v>
      </c>
      <c r="G28" s="290">
        <f>('Cash Flow - Year 4'!P29)</f>
        <v>0</v>
      </c>
      <c r="H28" s="290">
        <f>('Cash Flow - Year 5'!P29)</f>
        <v>0</v>
      </c>
      <c r="I28" s="290">
        <f>('Cash Flow - Year 6'!P29)</f>
        <v>0</v>
      </c>
      <c r="J28" s="290">
        <f>('Cash Flow - Year 7'!P29)</f>
        <v>0</v>
      </c>
      <c r="K28" s="290">
        <f>('Cash Flow - Year 8'!P29)</f>
        <v>0</v>
      </c>
      <c r="L28" s="7"/>
    </row>
    <row r="29" spans="1:12" x14ac:dyDescent="0.2">
      <c r="A29" s="6"/>
      <c r="C29" s="307" t="s">
        <v>425</v>
      </c>
      <c r="D29" s="290">
        <f>('Cash Flow - Year 1'!P30)</f>
        <v>0</v>
      </c>
      <c r="E29" s="290">
        <f>('Cash Flow - Year 2'!P30)</f>
        <v>0</v>
      </c>
      <c r="F29" s="290">
        <f>('Cash Flow - Year 3'!P30)</f>
        <v>0</v>
      </c>
      <c r="G29" s="290">
        <f>('Cash Flow - Year 4'!P30)</f>
        <v>0</v>
      </c>
      <c r="H29" s="290">
        <f>('Cash Flow - Year 5'!P30)</f>
        <v>0</v>
      </c>
      <c r="I29" s="290">
        <f>('Cash Flow - Year 6'!P30)</f>
        <v>0</v>
      </c>
      <c r="J29" s="290">
        <f>('Cash Flow - Year 7'!P30)</f>
        <v>0</v>
      </c>
      <c r="K29" s="290">
        <f>('Cash Flow - Year 8'!P30)</f>
        <v>0</v>
      </c>
      <c r="L29" s="7"/>
    </row>
    <row r="30" spans="1:12" x14ac:dyDescent="0.2">
      <c r="A30" s="6"/>
      <c r="C30" s="305" t="s">
        <v>426</v>
      </c>
      <c r="D30" s="290">
        <f>('Cash Flow - Year 1'!P31)</f>
        <v>-190400</v>
      </c>
      <c r="E30" s="290">
        <f>('Cash Flow - Year 2'!P31)</f>
        <v>0</v>
      </c>
      <c r="F30" s="290">
        <f>('Cash Flow - Year 3'!P31)</f>
        <v>0</v>
      </c>
      <c r="G30" s="290">
        <f>('Cash Flow - Year 4'!P31)</f>
        <v>0</v>
      </c>
      <c r="H30" s="290">
        <f>('Cash Flow - Year 5'!P31)</f>
        <v>0</v>
      </c>
      <c r="I30" s="290">
        <f>('Cash Flow - Year 6'!P31)</f>
        <v>0</v>
      </c>
      <c r="J30" s="290">
        <f>('Cash Flow - Year 7'!P31)</f>
        <v>0</v>
      </c>
      <c r="K30" s="290">
        <f>('Cash Flow - Year 8'!P31)</f>
        <v>0</v>
      </c>
      <c r="L30" s="7"/>
    </row>
    <row r="31" spans="1:12" x14ac:dyDescent="0.2">
      <c r="A31" s="6"/>
      <c r="C31" s="306" t="s">
        <v>466</v>
      </c>
      <c r="D31" s="290">
        <f>('Cash Flow - Year 1'!P32)</f>
        <v>0</v>
      </c>
      <c r="E31" s="290">
        <f>('Cash Flow - Year 2'!P32)</f>
        <v>0</v>
      </c>
      <c r="F31" s="290">
        <f>('Cash Flow - Year 3'!P32)</f>
        <v>0</v>
      </c>
      <c r="G31" s="290">
        <f>('Cash Flow - Year 4'!P32)</f>
        <v>0</v>
      </c>
      <c r="H31" s="290">
        <f>('Cash Flow - Year 5'!P32)</f>
        <v>0</v>
      </c>
      <c r="I31" s="290">
        <f>('Cash Flow - Year 6'!P32)</f>
        <v>0</v>
      </c>
      <c r="J31" s="290">
        <f>('Cash Flow - Year 7'!P32)</f>
        <v>0</v>
      </c>
      <c r="K31" s="290">
        <f>('Cash Flow - Year 8'!P32)</f>
        <v>0</v>
      </c>
      <c r="L31" s="7"/>
    </row>
    <row r="32" spans="1:12" x14ac:dyDescent="0.2">
      <c r="A32" s="6"/>
      <c r="C32" s="306" t="s">
        <v>467</v>
      </c>
      <c r="D32" s="290">
        <f>('Cash Flow - Year 1'!P33)</f>
        <v>0</v>
      </c>
      <c r="E32" s="290">
        <f>('Cash Flow - Year 2'!P33)</f>
        <v>0</v>
      </c>
      <c r="F32" s="290">
        <f>('Cash Flow - Year 3'!P33)</f>
        <v>0</v>
      </c>
      <c r="G32" s="290">
        <f>('Cash Flow - Year 4'!P33)</f>
        <v>0</v>
      </c>
      <c r="H32" s="290">
        <f>('Cash Flow - Year 5'!P33)</f>
        <v>0</v>
      </c>
      <c r="I32" s="290">
        <f>('Cash Flow - Year 6'!P33)</f>
        <v>0</v>
      </c>
      <c r="J32" s="290">
        <f>('Cash Flow - Year 7'!P33)</f>
        <v>0</v>
      </c>
      <c r="K32" s="290">
        <f>('Cash Flow - Year 8'!P33)</f>
        <v>0</v>
      </c>
      <c r="L32" s="7"/>
    </row>
    <row r="33" spans="1:12" x14ac:dyDescent="0.2">
      <c r="A33" s="6"/>
      <c r="C33" s="306" t="s">
        <v>468</v>
      </c>
      <c r="D33" s="290">
        <f>('Cash Flow - Year 1'!P34)</f>
        <v>0</v>
      </c>
      <c r="E33" s="290">
        <f>('Cash Flow - Year 2'!P34)</f>
        <v>0</v>
      </c>
      <c r="F33" s="290">
        <f>('Cash Flow - Year 3'!P34)</f>
        <v>0</v>
      </c>
      <c r="G33" s="290">
        <f>('Cash Flow - Year 4'!P34)</f>
        <v>0</v>
      </c>
      <c r="H33" s="290">
        <f>('Cash Flow - Year 5'!P34)</f>
        <v>0</v>
      </c>
      <c r="I33" s="290">
        <f>('Cash Flow - Year 6'!P34)</f>
        <v>0</v>
      </c>
      <c r="J33" s="290">
        <f>('Cash Flow - Year 7'!P34)</f>
        <v>0</v>
      </c>
      <c r="K33" s="290">
        <f>('Cash Flow - Year 8'!P34)</f>
        <v>0</v>
      </c>
      <c r="L33" s="7"/>
    </row>
    <row r="34" spans="1:12" x14ac:dyDescent="0.2">
      <c r="A34" s="6"/>
      <c r="C34" s="303" t="s">
        <v>428</v>
      </c>
      <c r="D34" s="291">
        <f>('Cash Flow - Year 1'!P35)</f>
        <v>0</v>
      </c>
      <c r="E34" s="291">
        <f>('Cash Flow - Year 2'!P35)</f>
        <v>0</v>
      </c>
      <c r="F34" s="291">
        <f>('Cash Flow - Year 3'!P35)</f>
        <v>0</v>
      </c>
      <c r="G34" s="291">
        <f>('Cash Flow - Year 4'!P35)</f>
        <v>0</v>
      </c>
      <c r="H34" s="291">
        <f>('Cash Flow - Year 5'!P35)</f>
        <v>0</v>
      </c>
      <c r="I34" s="291">
        <f>('Cash Flow - Year 6'!P35)</f>
        <v>0</v>
      </c>
      <c r="J34" s="291">
        <f>('Cash Flow - Year 7'!P35)</f>
        <v>0</v>
      </c>
      <c r="K34" s="291">
        <f>('Cash Flow - Year 8'!P35)</f>
        <v>0</v>
      </c>
      <c r="L34" s="7"/>
    </row>
    <row r="35" spans="1:12" x14ac:dyDescent="0.2">
      <c r="A35" s="6"/>
      <c r="C35" s="299"/>
      <c r="D35" s="296"/>
      <c r="E35" s="296"/>
      <c r="F35" s="296"/>
      <c r="G35" s="296"/>
      <c r="H35" s="296"/>
      <c r="I35" s="296"/>
      <c r="J35" s="296"/>
      <c r="K35" s="296"/>
      <c r="L35" s="7"/>
    </row>
    <row r="36" spans="1:12" x14ac:dyDescent="0.2">
      <c r="A36" s="6"/>
      <c r="C36" s="298" t="s">
        <v>469</v>
      </c>
      <c r="D36" s="312">
        <f>('Cash Flow - Year 1'!P37)</f>
        <v>-673520</v>
      </c>
      <c r="E36" s="312">
        <f>('Cash Flow - Year 2'!P37)</f>
        <v>-794224</v>
      </c>
      <c r="F36" s="312">
        <f>('Cash Flow - Year 3'!P37)</f>
        <v>-794224</v>
      </c>
      <c r="G36" s="312">
        <f>('Cash Flow - Year 4'!P37)</f>
        <v>-794224</v>
      </c>
      <c r="H36" s="312">
        <f>('Cash Flow - Year 5'!P37)</f>
        <v>-794224</v>
      </c>
      <c r="I36" s="312">
        <f>('Cash Flow - Year 6'!P37)</f>
        <v>-794224</v>
      </c>
      <c r="J36" s="312">
        <f>('Cash Flow - Year 7'!P37)</f>
        <v>-794224</v>
      </c>
      <c r="K36" s="312">
        <f>('Cash Flow - Year 8'!P37)</f>
        <v>-794224</v>
      </c>
      <c r="L36" s="7"/>
    </row>
    <row r="37" spans="1:12" x14ac:dyDescent="0.2">
      <c r="A37" s="6"/>
      <c r="C37" s="304" t="s">
        <v>430</v>
      </c>
      <c r="D37" s="301">
        <f>('Cash Flow - Year 1'!P38)</f>
        <v>-40000</v>
      </c>
      <c r="E37" s="301">
        <f>('Cash Flow - Year 2'!P38)</f>
        <v>-40000</v>
      </c>
      <c r="F37" s="301">
        <f>('Cash Flow - Year 3'!P38)</f>
        <v>-40000</v>
      </c>
      <c r="G37" s="301">
        <f>('Cash Flow - Year 4'!P38)</f>
        <v>-40000</v>
      </c>
      <c r="H37" s="301">
        <f>('Cash Flow - Year 5'!P38)</f>
        <v>-40000</v>
      </c>
      <c r="I37" s="301">
        <f>('Cash Flow - Year 6'!P38)</f>
        <v>-40000</v>
      </c>
      <c r="J37" s="301">
        <f>('Cash Flow - Year 7'!P38)</f>
        <v>-40000</v>
      </c>
      <c r="K37" s="301">
        <f>('Cash Flow - Year 8'!P38)</f>
        <v>-40000</v>
      </c>
      <c r="L37" s="7"/>
    </row>
    <row r="38" spans="1:12" x14ac:dyDescent="0.2">
      <c r="A38" s="6"/>
      <c r="C38" s="305" t="s">
        <v>431</v>
      </c>
      <c r="D38" s="290">
        <f>('Cash Flow - Year 1'!P39)</f>
        <v>-30000</v>
      </c>
      <c r="E38" s="290">
        <f>('Cash Flow - Year 2'!P39)</f>
        <v>-30000</v>
      </c>
      <c r="F38" s="290">
        <f>('Cash Flow - Year 3'!P39)</f>
        <v>-30000</v>
      </c>
      <c r="G38" s="290">
        <f>('Cash Flow - Year 4'!P39)</f>
        <v>-30000</v>
      </c>
      <c r="H38" s="290">
        <f>('Cash Flow - Year 5'!P39)</f>
        <v>-30000</v>
      </c>
      <c r="I38" s="290">
        <f>('Cash Flow - Year 6'!P39)</f>
        <v>-30000</v>
      </c>
      <c r="J38" s="290">
        <f>('Cash Flow - Year 7'!P39)</f>
        <v>-30000</v>
      </c>
      <c r="K38" s="290">
        <f>('Cash Flow - Year 8'!P39)</f>
        <v>-30000</v>
      </c>
      <c r="L38" s="7"/>
    </row>
    <row r="39" spans="1:12" x14ac:dyDescent="0.2">
      <c r="A39" s="6"/>
      <c r="C39" s="306" t="s">
        <v>185</v>
      </c>
      <c r="D39" s="290">
        <f>('Cash Flow - Year 1'!P40)</f>
        <v>-76800</v>
      </c>
      <c r="E39" s="290">
        <f>('Cash Flow - Year 2'!P40)</f>
        <v>-92160</v>
      </c>
      <c r="F39" s="290">
        <f>('Cash Flow - Year 3'!P40)</f>
        <v>-92160</v>
      </c>
      <c r="G39" s="290">
        <f>('Cash Flow - Year 4'!P40)</f>
        <v>-92160</v>
      </c>
      <c r="H39" s="290">
        <f>('Cash Flow - Year 5'!P40)</f>
        <v>-92160</v>
      </c>
      <c r="I39" s="290">
        <f>('Cash Flow - Year 6'!P40)</f>
        <v>-92160</v>
      </c>
      <c r="J39" s="290">
        <f>('Cash Flow - Year 7'!P40)</f>
        <v>-92160</v>
      </c>
      <c r="K39" s="290">
        <f>('Cash Flow - Year 8'!P40)</f>
        <v>-92160</v>
      </c>
      <c r="L39" s="7"/>
    </row>
    <row r="40" spans="1:12" x14ac:dyDescent="0.2">
      <c r="A40" s="6"/>
      <c r="C40" s="306" t="s">
        <v>186</v>
      </c>
      <c r="D40" s="290">
        <f>('Cash Flow - Year 1'!P41)</f>
        <v>-6400</v>
      </c>
      <c r="E40" s="290">
        <f>('Cash Flow - Year 2'!P41)</f>
        <v>-7680</v>
      </c>
      <c r="F40" s="290">
        <f>('Cash Flow - Year 3'!P41)</f>
        <v>-7680</v>
      </c>
      <c r="G40" s="290">
        <f>('Cash Flow - Year 4'!P41)</f>
        <v>-7680</v>
      </c>
      <c r="H40" s="290">
        <f>('Cash Flow - Year 5'!P41)</f>
        <v>-7680</v>
      </c>
      <c r="I40" s="290">
        <f>('Cash Flow - Year 6'!P41)</f>
        <v>-7680</v>
      </c>
      <c r="J40" s="290">
        <f>('Cash Flow - Year 7'!P41)</f>
        <v>-7680</v>
      </c>
      <c r="K40" s="290">
        <f>('Cash Flow - Year 8'!P41)</f>
        <v>-7680</v>
      </c>
      <c r="L40" s="7"/>
    </row>
    <row r="41" spans="1:12" x14ac:dyDescent="0.2">
      <c r="A41" s="6"/>
      <c r="C41" s="306" t="s">
        <v>187</v>
      </c>
      <c r="D41" s="290">
        <f>('Cash Flow - Year 1'!P42)</f>
        <v>-9600</v>
      </c>
      <c r="E41" s="290">
        <f>('Cash Flow - Year 2'!P42)</f>
        <v>-11520</v>
      </c>
      <c r="F41" s="290">
        <f>('Cash Flow - Year 3'!P42)</f>
        <v>-11520</v>
      </c>
      <c r="G41" s="290">
        <f>('Cash Flow - Year 4'!P42)</f>
        <v>-11520</v>
      </c>
      <c r="H41" s="290">
        <f>('Cash Flow - Year 5'!P42)</f>
        <v>-11520</v>
      </c>
      <c r="I41" s="290">
        <f>('Cash Flow - Year 6'!P42)</f>
        <v>-11520</v>
      </c>
      <c r="J41" s="290">
        <f>('Cash Flow - Year 7'!P42)</f>
        <v>-11520</v>
      </c>
      <c r="K41" s="290">
        <f>('Cash Flow - Year 8'!P42)</f>
        <v>-11520</v>
      </c>
      <c r="L41" s="7"/>
    </row>
    <row r="42" spans="1:12" x14ac:dyDescent="0.2">
      <c r="A42" s="6"/>
      <c r="C42" s="306" t="s">
        <v>191</v>
      </c>
      <c r="D42" s="290">
        <f>('Cash Flow - Year 1'!P43)</f>
        <v>-11520</v>
      </c>
      <c r="E42" s="290">
        <f>('Cash Flow - Year 2'!P43)</f>
        <v>-13824</v>
      </c>
      <c r="F42" s="290">
        <f>('Cash Flow - Year 3'!P43)</f>
        <v>-13824</v>
      </c>
      <c r="G42" s="290">
        <f>('Cash Flow - Year 4'!P43)</f>
        <v>-13824</v>
      </c>
      <c r="H42" s="290">
        <f>('Cash Flow - Year 5'!P43)</f>
        <v>-13824</v>
      </c>
      <c r="I42" s="290">
        <f>('Cash Flow - Year 6'!P43)</f>
        <v>-13824</v>
      </c>
      <c r="J42" s="290">
        <f>('Cash Flow - Year 7'!P43)</f>
        <v>-13824</v>
      </c>
      <c r="K42" s="290">
        <f>('Cash Flow - Year 8'!P43)</f>
        <v>-13824</v>
      </c>
      <c r="L42" s="7"/>
    </row>
    <row r="43" spans="1:12" x14ac:dyDescent="0.2">
      <c r="A43" s="6"/>
      <c r="C43" s="306" t="s">
        <v>193</v>
      </c>
      <c r="D43" s="290">
        <f>('Cash Flow - Year 1'!P44)</f>
        <v>0</v>
      </c>
      <c r="E43" s="290">
        <f>('Cash Flow - Year 2'!P44)</f>
        <v>0</v>
      </c>
      <c r="F43" s="290">
        <f>('Cash Flow - Year 3'!P44)</f>
        <v>0</v>
      </c>
      <c r="G43" s="290">
        <f>('Cash Flow - Year 4'!P44)</f>
        <v>0</v>
      </c>
      <c r="H43" s="290">
        <f>('Cash Flow - Year 5'!P44)</f>
        <v>0</v>
      </c>
      <c r="I43" s="290">
        <f>('Cash Flow - Year 6'!P44)</f>
        <v>0</v>
      </c>
      <c r="J43" s="290">
        <f>('Cash Flow - Year 7'!P44)</f>
        <v>0</v>
      </c>
      <c r="K43" s="290">
        <f>('Cash Flow - Year 8'!P44)</f>
        <v>0</v>
      </c>
      <c r="L43" s="7"/>
    </row>
    <row r="44" spans="1:12" x14ac:dyDescent="0.2">
      <c r="A44" s="6"/>
      <c r="C44" s="306" t="s">
        <v>188</v>
      </c>
      <c r="D44" s="290">
        <f>('Cash Flow - Year 1'!P45)</f>
        <v>-288000</v>
      </c>
      <c r="E44" s="290">
        <f>('Cash Flow - Year 2'!P45)</f>
        <v>-345600</v>
      </c>
      <c r="F44" s="290">
        <f>('Cash Flow - Year 3'!P45)</f>
        <v>-345600</v>
      </c>
      <c r="G44" s="290">
        <f>('Cash Flow - Year 4'!P45)</f>
        <v>-345600</v>
      </c>
      <c r="H44" s="290">
        <f>('Cash Flow - Year 5'!P45)</f>
        <v>-345600</v>
      </c>
      <c r="I44" s="290">
        <f>('Cash Flow - Year 6'!P45)</f>
        <v>-345600</v>
      </c>
      <c r="J44" s="290">
        <f>('Cash Flow - Year 7'!P45)</f>
        <v>-345600</v>
      </c>
      <c r="K44" s="290">
        <f>('Cash Flow - Year 8'!P45)</f>
        <v>-345600</v>
      </c>
      <c r="L44" s="7"/>
    </row>
    <row r="45" spans="1:12" x14ac:dyDescent="0.2">
      <c r="A45" s="6"/>
      <c r="C45" s="306" t="s">
        <v>189</v>
      </c>
      <c r="D45" s="290">
        <f>('Cash Flow - Year 1'!P46)</f>
        <v>-24000</v>
      </c>
      <c r="E45" s="290">
        <f>('Cash Flow - Year 2'!P46)</f>
        <v>-28800</v>
      </c>
      <c r="F45" s="290">
        <f>('Cash Flow - Year 3'!P46)</f>
        <v>-28800</v>
      </c>
      <c r="G45" s="290">
        <f>('Cash Flow - Year 4'!P46)</f>
        <v>-28800</v>
      </c>
      <c r="H45" s="290">
        <f>('Cash Flow - Year 5'!P46)</f>
        <v>-28800</v>
      </c>
      <c r="I45" s="290">
        <f>('Cash Flow - Year 6'!P46)</f>
        <v>-28800</v>
      </c>
      <c r="J45" s="290">
        <f>('Cash Flow - Year 7'!P46)</f>
        <v>-28800</v>
      </c>
      <c r="K45" s="290">
        <f>('Cash Flow - Year 8'!P46)</f>
        <v>-28800</v>
      </c>
      <c r="L45" s="7"/>
    </row>
    <row r="46" spans="1:12" x14ac:dyDescent="0.2">
      <c r="A46" s="6"/>
      <c r="C46" s="306" t="s">
        <v>190</v>
      </c>
      <c r="D46" s="290">
        <f>('Cash Flow - Year 1'!P47)</f>
        <v>-115200</v>
      </c>
      <c r="E46" s="290">
        <f>('Cash Flow - Year 2'!P47)</f>
        <v>-138240</v>
      </c>
      <c r="F46" s="290">
        <f>('Cash Flow - Year 3'!P47)</f>
        <v>-138240</v>
      </c>
      <c r="G46" s="290">
        <f>('Cash Flow - Year 4'!P47)</f>
        <v>-138240</v>
      </c>
      <c r="H46" s="290">
        <f>('Cash Flow - Year 5'!P47)</f>
        <v>-138240</v>
      </c>
      <c r="I46" s="290">
        <f>('Cash Flow - Year 6'!P47)</f>
        <v>-138240</v>
      </c>
      <c r="J46" s="290">
        <f>('Cash Flow - Year 7'!P47)</f>
        <v>-138240</v>
      </c>
      <c r="K46" s="290">
        <f>('Cash Flow - Year 8'!P47)</f>
        <v>-138240</v>
      </c>
      <c r="L46" s="7"/>
    </row>
    <row r="47" spans="1:12" x14ac:dyDescent="0.2">
      <c r="A47" s="6"/>
      <c r="C47" s="306" t="s">
        <v>192</v>
      </c>
      <c r="D47" s="290">
        <f>('Cash Flow - Year 1'!P48)</f>
        <v>-72000</v>
      </c>
      <c r="E47" s="290">
        <f>('Cash Flow - Year 2'!P48)</f>
        <v>-86400</v>
      </c>
      <c r="F47" s="290">
        <f>('Cash Flow - Year 3'!P48)</f>
        <v>-86400</v>
      </c>
      <c r="G47" s="290">
        <f>('Cash Flow - Year 4'!P48)</f>
        <v>-86400</v>
      </c>
      <c r="H47" s="290">
        <f>('Cash Flow - Year 5'!P48)</f>
        <v>-86400</v>
      </c>
      <c r="I47" s="290">
        <f>('Cash Flow - Year 6'!P48)</f>
        <v>-86400</v>
      </c>
      <c r="J47" s="290">
        <f>('Cash Flow - Year 7'!P48)</f>
        <v>-86400</v>
      </c>
      <c r="K47" s="290">
        <f>('Cash Flow - Year 8'!P48)</f>
        <v>-86400</v>
      </c>
      <c r="L47" s="7"/>
    </row>
    <row r="48" spans="1:12" x14ac:dyDescent="0.2">
      <c r="A48" s="6"/>
      <c r="C48" s="303" t="s">
        <v>194</v>
      </c>
      <c r="D48" s="291">
        <f>('Cash Flow - Year 1'!P49)</f>
        <v>0</v>
      </c>
      <c r="E48" s="291">
        <f>('Cash Flow - Year 2'!P49)</f>
        <v>0</v>
      </c>
      <c r="F48" s="291">
        <f>('Cash Flow - Year 3'!P49)</f>
        <v>0</v>
      </c>
      <c r="G48" s="291">
        <f>('Cash Flow - Year 4'!P49)</f>
        <v>0</v>
      </c>
      <c r="H48" s="291">
        <f>('Cash Flow - Year 5'!P49)</f>
        <v>0</v>
      </c>
      <c r="I48" s="291">
        <f>('Cash Flow - Year 6'!P49)</f>
        <v>0</v>
      </c>
      <c r="J48" s="291">
        <f>('Cash Flow - Year 7'!P49)</f>
        <v>0</v>
      </c>
      <c r="K48" s="291">
        <f>('Cash Flow - Year 8'!P49)</f>
        <v>0</v>
      </c>
      <c r="L48" s="7"/>
    </row>
    <row r="49" spans="1:12" x14ac:dyDescent="0.2">
      <c r="A49" s="6"/>
      <c r="C49" s="298"/>
      <c r="D49" s="296"/>
      <c r="E49" s="296"/>
      <c r="F49" s="296"/>
      <c r="G49" s="296"/>
      <c r="H49" s="296"/>
      <c r="I49" s="296"/>
      <c r="J49" s="296"/>
      <c r="K49" s="296"/>
      <c r="L49" s="7"/>
    </row>
    <row r="50" spans="1:12" x14ac:dyDescent="0.2">
      <c r="A50" s="6"/>
      <c r="C50" s="298" t="s">
        <v>411</v>
      </c>
      <c r="D50" s="312">
        <f>('Cash Flow - Year 1'!P51)</f>
        <v>-682500</v>
      </c>
      <c r="E50" s="312">
        <f>('Cash Flow - Year 2'!P51)</f>
        <v>-555416.66666666663</v>
      </c>
      <c r="F50" s="312">
        <f>('Cash Flow - Year 3'!P51)</f>
        <v>-455416.66666666669</v>
      </c>
      <c r="G50" s="312">
        <f>('Cash Flow - Year 4'!P51)</f>
        <v>-344583.33333333331</v>
      </c>
      <c r="H50" s="312">
        <f>('Cash Flow - Year 5'!P51)</f>
        <v>-301250</v>
      </c>
      <c r="I50" s="312">
        <f>('Cash Flow - Year 6'!P51)</f>
        <v>-301250</v>
      </c>
      <c r="J50" s="312">
        <f>('Cash Flow - Year 7'!P51)</f>
        <v>-301250</v>
      </c>
      <c r="K50" s="312">
        <f>('Cash Flow - Year 8'!P51)</f>
        <v>-301250</v>
      </c>
      <c r="L50" s="7"/>
    </row>
    <row r="51" spans="1:12" x14ac:dyDescent="0.2">
      <c r="A51" s="6"/>
      <c r="C51" s="302" t="s">
        <v>470</v>
      </c>
      <c r="D51" s="301">
        <f>('Cash Flow - Year 1'!P52)</f>
        <v>-301250</v>
      </c>
      <c r="E51" s="301">
        <f>('Cash Flow - Year 2'!P52)</f>
        <v>-301250</v>
      </c>
      <c r="F51" s="301">
        <f>('Cash Flow - Year 3'!P52)</f>
        <v>-301250</v>
      </c>
      <c r="G51" s="301">
        <f>('Cash Flow - Year 4'!P52)</f>
        <v>-301250</v>
      </c>
      <c r="H51" s="301">
        <f>('Cash Flow - Year 5'!P52)</f>
        <v>-301250</v>
      </c>
      <c r="I51" s="301">
        <f>('Cash Flow - Year 6'!P52)</f>
        <v>-301250</v>
      </c>
      <c r="J51" s="301">
        <f>('Cash Flow - Year 7'!P52)</f>
        <v>-301250</v>
      </c>
      <c r="K51" s="301">
        <f>('Cash Flow - Year 8'!P52)</f>
        <v>-301250</v>
      </c>
      <c r="L51" s="7"/>
    </row>
    <row r="52" spans="1:12" x14ac:dyDescent="0.2">
      <c r="A52" s="6"/>
      <c r="C52" s="303" t="s">
        <v>471</v>
      </c>
      <c r="D52" s="291">
        <f>('Cash Flow - Year 1'!P53)</f>
        <v>-381250</v>
      </c>
      <c r="E52" s="291">
        <f>('Cash Flow - Year 2'!P53)</f>
        <v>-254166.66666666669</v>
      </c>
      <c r="F52" s="291">
        <f>('Cash Flow - Year 3'!P53)</f>
        <v>-154166.66666666669</v>
      </c>
      <c r="G52" s="291">
        <f>('Cash Flow - Year 4'!P53)</f>
        <v>-43333.333333333343</v>
      </c>
      <c r="H52" s="291">
        <f>('Cash Flow - Year 5'!P53)</f>
        <v>0</v>
      </c>
      <c r="I52" s="291">
        <f>('Cash Flow - Year 6'!P53)</f>
        <v>0</v>
      </c>
      <c r="J52" s="291">
        <f>('Cash Flow - Year 7'!P53)</f>
        <v>0</v>
      </c>
      <c r="K52" s="291">
        <f>('Cash Flow - Year 8'!P53)</f>
        <v>0</v>
      </c>
      <c r="L52" s="7"/>
    </row>
    <row r="53" spans="1:12" x14ac:dyDescent="0.2">
      <c r="A53" s="6"/>
      <c r="C53" s="298"/>
      <c r="D53" s="296"/>
      <c r="E53" s="296"/>
      <c r="F53" s="296"/>
      <c r="G53" s="296"/>
      <c r="H53" s="296"/>
      <c r="I53" s="296"/>
      <c r="J53" s="296"/>
      <c r="K53" s="296"/>
      <c r="L53" s="7"/>
    </row>
    <row r="54" spans="1:12" x14ac:dyDescent="0.2">
      <c r="A54" s="6"/>
      <c r="D54" s="296"/>
      <c r="E54" s="296"/>
      <c r="F54" s="296"/>
      <c r="G54" s="296"/>
      <c r="H54" s="296"/>
      <c r="I54" s="296"/>
      <c r="J54" s="296"/>
      <c r="K54" s="296"/>
      <c r="L54" s="7"/>
    </row>
    <row r="55" spans="1:12" x14ac:dyDescent="0.2">
      <c r="A55" s="6"/>
      <c r="C55" s="66" t="s">
        <v>472</v>
      </c>
      <c r="D55" s="292">
        <f>('Cash Flow - Year 1'!P56)</f>
        <v>-1356020</v>
      </c>
      <c r="E55" s="292">
        <f>('Cash Flow - Year 2'!P56)</f>
        <v>-1349640.6666666665</v>
      </c>
      <c r="F55" s="292">
        <f>('Cash Flow - Year 3'!P56)</f>
        <v>-1249640.6666666665</v>
      </c>
      <c r="G55" s="292">
        <f>('Cash Flow - Year 4'!P56)</f>
        <v>-1138807.3333333335</v>
      </c>
      <c r="H55" s="292">
        <f>('Cash Flow - Year 5'!P56)</f>
        <v>-1095474</v>
      </c>
      <c r="I55" s="292">
        <f>('Cash Flow - Year 6'!P56)</f>
        <v>-1095474</v>
      </c>
      <c r="J55" s="292">
        <f>('Cash Flow - Year 7'!P56)</f>
        <v>-1095474</v>
      </c>
      <c r="K55" s="292">
        <f>('Cash Flow - Year 8'!P56)</f>
        <v>-1095474</v>
      </c>
      <c r="L55" s="7"/>
    </row>
    <row r="56" spans="1:12" x14ac:dyDescent="0.2">
      <c r="A56" s="6"/>
      <c r="C56" s="66" t="s">
        <v>474</v>
      </c>
      <c r="D56" s="292">
        <f>('Cash Flow - Year 1'!P57)</f>
        <v>674080</v>
      </c>
      <c r="E56" s="292">
        <f>('Cash Flow - Year 2'!P57)</f>
        <v>680459.33333333337</v>
      </c>
      <c r="F56" s="292">
        <f>('Cash Flow - Year 3'!P57)</f>
        <v>780459.33333333337</v>
      </c>
      <c r="G56" s="292">
        <f>('Cash Flow - Year 4'!P57)</f>
        <v>891292.66666666674</v>
      </c>
      <c r="H56" s="292">
        <f>('Cash Flow - Year 5'!P57)</f>
        <v>934626</v>
      </c>
      <c r="I56" s="292">
        <f>('Cash Flow - Year 6'!P57)</f>
        <v>934626</v>
      </c>
      <c r="J56" s="292">
        <f>('Cash Flow - Year 7'!P57)</f>
        <v>934626</v>
      </c>
      <c r="K56" s="292">
        <f>('Cash Flow - Year 8'!P57)</f>
        <v>934626</v>
      </c>
      <c r="L56" s="7"/>
    </row>
    <row r="57" spans="1:12" x14ac:dyDescent="0.2">
      <c r="A57" s="6"/>
      <c r="C57" s="66" t="s">
        <v>480</v>
      </c>
      <c r="D57" s="292">
        <f>('Cash Flow - Year 1'!P58)</f>
        <v>-1161464</v>
      </c>
      <c r="E57" s="292">
        <f>('Cash Flow - Year 2'!P58)</f>
        <v>-696878.4</v>
      </c>
      <c r="F57" s="292">
        <f>('Cash Flow - Year 3'!P58)</f>
        <v>-464585.60000000003</v>
      </c>
      <c r="G57" s="292">
        <f>('Cash Flow - Year 4'!P58)</f>
        <v>0</v>
      </c>
      <c r="H57" s="292">
        <f>('Cash Flow - Year 5'!P58)</f>
        <v>0</v>
      </c>
      <c r="I57" s="292">
        <f>('Cash Flow - Year 6'!P58)</f>
        <v>0</v>
      </c>
      <c r="J57" s="292">
        <f>('Cash Flow - Year 7'!P58)</f>
        <v>0</v>
      </c>
      <c r="K57" s="292">
        <f>('Cash Flow - Year 8'!P58)</f>
        <v>0</v>
      </c>
      <c r="L57" s="7"/>
    </row>
    <row r="58" spans="1:12" x14ac:dyDescent="0.2">
      <c r="A58" s="6"/>
      <c r="C58" s="66" t="s">
        <v>481</v>
      </c>
      <c r="D58" s="292">
        <f>('Cash Flow - Year 1'!P59)</f>
        <v>-487384</v>
      </c>
      <c r="E58" s="292">
        <f>('Cash Flow - Year 2'!P59)</f>
        <v>-16419.066666666709</v>
      </c>
      <c r="F58" s="292">
        <f>('Cash Flow - Year 3'!P59)</f>
        <v>315873.73333333328</v>
      </c>
      <c r="G58" s="292">
        <f>('Cash Flow - Year 4'!P59)</f>
        <v>891292.66666666674</v>
      </c>
      <c r="H58" s="292">
        <f>('Cash Flow - Year 5'!P59)</f>
        <v>934626</v>
      </c>
      <c r="I58" s="292">
        <f>('Cash Flow - Year 6'!P59)</f>
        <v>934626</v>
      </c>
      <c r="J58" s="292">
        <f>('Cash Flow - Year 7'!P59)</f>
        <v>934626</v>
      </c>
      <c r="K58" s="292">
        <f>('Cash Flow - Year 8'!P59)</f>
        <v>934626</v>
      </c>
      <c r="L58" s="7"/>
    </row>
    <row r="59" spans="1:12" x14ac:dyDescent="0.2">
      <c r="A59" s="6"/>
      <c r="C59" s="66" t="s">
        <v>482</v>
      </c>
      <c r="D59" s="292">
        <f>('Cash Flow - Year 1'!P60)</f>
        <v>0</v>
      </c>
      <c r="E59" s="292">
        <f>('Cash Flow - Year 2'!P60)</f>
        <v>0</v>
      </c>
      <c r="F59" s="292">
        <f>('Cash Flow - Year 3'!P60)</f>
        <v>0</v>
      </c>
      <c r="G59" s="292">
        <f>('Cash Flow - Year 4'!P60)</f>
        <v>0</v>
      </c>
      <c r="H59" s="292">
        <f>('Cash Flow - Year 5'!P60)</f>
        <v>0</v>
      </c>
      <c r="I59" s="292">
        <f>('Cash Flow - Year 6'!P60)</f>
        <v>0</v>
      </c>
      <c r="J59" s="292">
        <f>('Cash Flow - Year 7'!P60)</f>
        <v>0</v>
      </c>
      <c r="K59" s="292">
        <f>('Cash Flow - Year 8'!P60)</f>
        <v>0</v>
      </c>
      <c r="L59" s="7"/>
    </row>
    <row r="60" spans="1:12" x14ac:dyDescent="0.2">
      <c r="A60" s="6"/>
      <c r="C60" s="66" t="s">
        <v>483</v>
      </c>
      <c r="D60" s="292">
        <f>('Cash Flow - Year 1'!P61)</f>
        <v>-487384</v>
      </c>
      <c r="E60" s="292">
        <f>('Cash Flow - Year 2'!P61)</f>
        <v>-16419.066666666709</v>
      </c>
      <c r="F60" s="292">
        <f>('Cash Flow - Year 3'!P61)</f>
        <v>315873.73333333328</v>
      </c>
      <c r="G60" s="292">
        <f>('Cash Flow - Year 4'!P61)</f>
        <v>891292.66666666674</v>
      </c>
      <c r="H60" s="292">
        <f>('Cash Flow - Year 5'!P61)</f>
        <v>934626</v>
      </c>
      <c r="I60" s="292">
        <f>('Cash Flow - Year 6'!P61)</f>
        <v>934626</v>
      </c>
      <c r="J60" s="292">
        <f>('Cash Flow - Year 7'!P61)</f>
        <v>934626</v>
      </c>
      <c r="K60" s="292">
        <f>('Cash Flow - Year 8'!P61)</f>
        <v>934626</v>
      </c>
      <c r="L60" s="7"/>
    </row>
    <row r="61" spans="1:12" ht="13.5" thickBot="1" x14ac:dyDescent="0.25">
      <c r="A61" s="6"/>
      <c r="C61" s="311" t="s">
        <v>475</v>
      </c>
      <c r="D61" s="301">
        <f>('Cash Flow - Year 1'!P62)</f>
        <v>-1000000.0000000001</v>
      </c>
      <c r="E61" s="301">
        <f>('Cash Flow - Year 2'!P62)</f>
        <v>-666666.66666666651</v>
      </c>
      <c r="F61" s="301">
        <f>('Cash Flow - Year 3'!P62)</f>
        <v>-666666.66666666674</v>
      </c>
      <c r="G61" s="301">
        <f>('Cash Flow - Year 4'!P62)</f>
        <v>-666666.66666666674</v>
      </c>
      <c r="H61" s="301">
        <f>('Cash Flow - Year 5'!P62)</f>
        <v>0</v>
      </c>
      <c r="I61" s="301">
        <f>('Cash Flow - Year 6'!P62)</f>
        <v>0</v>
      </c>
      <c r="J61" s="301">
        <f>('Cash Flow - Year 7'!P62)</f>
        <v>0</v>
      </c>
      <c r="K61" s="301">
        <f>('Cash Flow - Year 8'!P62)</f>
        <v>0</v>
      </c>
      <c r="L61" s="7"/>
    </row>
    <row r="62" spans="1:12" ht="13.5" thickBot="1" x14ac:dyDescent="0.25">
      <c r="A62" s="6"/>
      <c r="C62" s="258" t="s">
        <v>484</v>
      </c>
      <c r="D62" s="325">
        <f>('Cash Flow - Year 1'!P63)</f>
        <v>-325919.99999999988</v>
      </c>
      <c r="E62" s="325">
        <f>('Cash Flow - Year 2'!P63)</f>
        <v>13792.666666666657</v>
      </c>
      <c r="F62" s="325">
        <f>('Cash Flow - Year 3'!P63)</f>
        <v>113792.66666666657</v>
      </c>
      <c r="G62" s="325">
        <f>('Cash Flow - Year 4'!P63)</f>
        <v>224625.99999999983</v>
      </c>
      <c r="H62" s="325">
        <f>('Cash Flow - Year 5'!P63)</f>
        <v>934626</v>
      </c>
      <c r="I62" s="325">
        <f>('Cash Flow - Year 6'!P63)</f>
        <v>934626</v>
      </c>
      <c r="J62" s="325">
        <f>('Cash Flow - Year 7'!P63)</f>
        <v>934626</v>
      </c>
      <c r="K62" s="326">
        <f>('Cash Flow - Year 8'!P63)</f>
        <v>934626</v>
      </c>
      <c r="L62" s="7"/>
    </row>
    <row r="63" spans="1:12" ht="13.5" thickBot="1" x14ac:dyDescent="0.25">
      <c r="A63" s="6"/>
      <c r="C63" s="324" t="s">
        <v>498</v>
      </c>
      <c r="D63" s="290">
        <f>('Cash Flow - Year 1'!P65)</f>
        <v>-374807.99999999983</v>
      </c>
      <c r="E63" s="290">
        <f>('Cash Flow - Year 2'!P65)</f>
        <v>-415167.63333333307</v>
      </c>
      <c r="F63" s="290">
        <f>('Cash Flow - Year 3'!P65)</f>
        <v>-346581.21166666644</v>
      </c>
      <c r="G63" s="290">
        <f>('Cash Flow - Year 4'!P65)</f>
        <v>-140248.4934166664</v>
      </c>
      <c r="H63" s="290">
        <f>('Cash Flow - Year 5'!P65)</f>
        <v>913534.13257083355</v>
      </c>
      <c r="I63" s="290">
        <f>('Cash Flow - Year 6'!P65)</f>
        <v>2125384.1524564582</v>
      </c>
      <c r="J63" s="290">
        <f>('Cash Flow - Year 7'!P65)</f>
        <v>3519011.6753249266</v>
      </c>
      <c r="K63" s="290">
        <f>('Cash Flow - Year 8'!P65)</f>
        <v>5121683.3266236642</v>
      </c>
      <c r="L63" s="7"/>
    </row>
    <row r="64" spans="1:12" x14ac:dyDescent="0.2">
      <c r="A64" s="6"/>
      <c r="C64" s="272" t="s">
        <v>489</v>
      </c>
      <c r="D64" s="318">
        <f>('Cash Flow - Year 1'!P66)</f>
        <v>0</v>
      </c>
      <c r="E64" s="318">
        <f>('Cash Flow - Year 2'!P66)</f>
        <v>0</v>
      </c>
      <c r="F64" s="318">
        <f>('Cash Flow - Year 3'!P66)</f>
        <v>0</v>
      </c>
      <c r="G64" s="318">
        <f>('Cash Flow - Year 4'!P66)</f>
        <v>0</v>
      </c>
      <c r="H64" s="318">
        <f>('Cash Flow - Year 5'!P66)</f>
        <v>0</v>
      </c>
      <c r="I64" s="318">
        <f>('Cash Flow - Year 6'!P66)</f>
        <v>0</v>
      </c>
      <c r="J64" s="318">
        <f>('Cash Flow - Year 7'!P66)</f>
        <v>0</v>
      </c>
      <c r="K64" s="319">
        <f>('Cash Flow - Year 8'!P66)</f>
        <v>0</v>
      </c>
      <c r="L64" s="7"/>
    </row>
    <row r="65" spans="1:12" ht="13.5" thickBot="1" x14ac:dyDescent="0.25">
      <c r="A65" s="6"/>
      <c r="C65" s="257" t="s">
        <v>488</v>
      </c>
      <c r="D65" s="327">
        <f>('Cash Flow - Year 1'!P67)</f>
        <v>0</v>
      </c>
      <c r="E65" s="327">
        <f>('Cash Flow - Year 2'!P67)</f>
        <v>0</v>
      </c>
      <c r="F65" s="327">
        <f>('Cash Flow - Year 3'!P67)</f>
        <v>0</v>
      </c>
      <c r="G65" s="327">
        <f>('Cash Flow - Year 4'!P67)</f>
        <v>0</v>
      </c>
      <c r="H65" s="327">
        <f>('Cash Flow - Year 5'!P67)</f>
        <v>0</v>
      </c>
      <c r="I65" s="327">
        <f>('Cash Flow - Year 6'!P67)</f>
        <v>0</v>
      </c>
      <c r="J65" s="327">
        <f>('Cash Flow - Year 7'!P67)</f>
        <v>0</v>
      </c>
      <c r="K65" s="321">
        <f>('Cash Flow - Year 8'!P67)</f>
        <v>0</v>
      </c>
      <c r="L65" s="7"/>
    </row>
    <row r="66" spans="1:12" ht="13.5" thickBot="1" x14ac:dyDescent="0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8"/>
    </row>
  </sheetData>
  <phoneticPr fontId="0" type="noConversion"/>
  <pageMargins left="0.75" right="0.75" top="1" bottom="1" header="0.5" footer="0.5"/>
  <pageSetup paperSize="9" scale="5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65"/>
  <sheetViews>
    <sheetView workbookViewId="0">
      <selection activeCell="C60" sqref="C60"/>
    </sheetView>
  </sheetViews>
  <sheetFormatPr defaultRowHeight="12.75" x14ac:dyDescent="0.2"/>
  <cols>
    <col min="1" max="1" width="1" customWidth="1"/>
    <col min="2" max="2" width="1.7109375" customWidth="1"/>
    <col min="3" max="3" width="34.140625" customWidth="1"/>
    <col min="4" max="4" width="10.5703125" customWidth="1"/>
    <col min="5" max="5" width="7.7109375" customWidth="1"/>
    <col min="6" max="6" width="11.85546875" customWidth="1"/>
    <col min="7" max="7" width="11.7109375" style="53" customWidth="1"/>
    <col min="8" max="8" width="11.85546875" style="53" customWidth="1"/>
    <col min="9" max="9" width="3.7109375" customWidth="1"/>
    <col min="10" max="10" width="11.28515625" customWidth="1"/>
    <col min="12" max="12" width="11.7109375" bestFit="1" customWidth="1"/>
    <col min="13" max="13" width="10.85546875" customWidth="1"/>
  </cols>
  <sheetData>
    <row r="1" spans="1:13" x14ac:dyDescent="0.2">
      <c r="A1" s="21"/>
      <c r="B1" s="22"/>
      <c r="C1" s="22"/>
      <c r="D1" s="22"/>
      <c r="E1" s="22"/>
      <c r="F1" s="22"/>
      <c r="G1" s="113"/>
      <c r="H1" s="113"/>
      <c r="I1" s="23"/>
      <c r="K1" s="497" t="str">
        <f>"COSTING DATA "&amp;Curr_1</f>
        <v>COSTING DATA USD</v>
      </c>
      <c r="L1" s="498"/>
      <c r="M1" s="499"/>
    </row>
    <row r="2" spans="1:13" x14ac:dyDescent="0.2">
      <c r="A2" s="6"/>
      <c r="B2" s="24" t="s">
        <v>76</v>
      </c>
      <c r="C2" s="25"/>
      <c r="D2" s="25"/>
      <c r="E2" s="25"/>
      <c r="F2" s="25"/>
      <c r="G2" s="114"/>
      <c r="H2" s="52" t="s">
        <v>33</v>
      </c>
      <c r="I2" s="115"/>
      <c r="K2" s="66" t="s">
        <v>236</v>
      </c>
      <c r="L2" s="66" t="s">
        <v>237</v>
      </c>
      <c r="M2" s="66" t="s">
        <v>238</v>
      </c>
    </row>
    <row r="3" spans="1:13" ht="13.5" thickBot="1" x14ac:dyDescent="0.25">
      <c r="A3" s="6"/>
      <c r="I3" s="7"/>
      <c r="K3" s="56">
        <f>(G5)</f>
        <v>7345</v>
      </c>
      <c r="L3" s="56">
        <f>+G48</f>
        <v>1500000</v>
      </c>
      <c r="M3" s="56">
        <f>(G53)</f>
        <v>0</v>
      </c>
    </row>
    <row r="4" spans="1:13" ht="13.5" thickBot="1" x14ac:dyDescent="0.25">
      <c r="A4" s="6"/>
      <c r="C4" s="43" t="s">
        <v>34</v>
      </c>
      <c r="F4" s="119" t="s">
        <v>95</v>
      </c>
      <c r="G4" s="120" t="str">
        <f>Curr_1</f>
        <v>USD</v>
      </c>
      <c r="H4" s="121" t="str">
        <f>Curr_2</f>
        <v>EUR</v>
      </c>
      <c r="I4" s="7"/>
    </row>
    <row r="5" spans="1:13" ht="13.5" thickBot="1" x14ac:dyDescent="0.25">
      <c r="A5" s="6"/>
      <c r="F5" s="122" t="s">
        <v>78</v>
      </c>
      <c r="G5" s="54">
        <f>(G24)</f>
        <v>7345</v>
      </c>
      <c r="H5" s="55">
        <f>(H24)</f>
        <v>3940.4506437768241</v>
      </c>
      <c r="I5" s="7"/>
    </row>
    <row r="6" spans="1:13" x14ac:dyDescent="0.2">
      <c r="A6" s="6"/>
      <c r="C6" s="88" t="s">
        <v>42</v>
      </c>
      <c r="D6" s="88"/>
      <c r="E6" s="116" t="str">
        <f>Curr_2</f>
        <v>EUR</v>
      </c>
      <c r="I6" s="7"/>
    </row>
    <row r="7" spans="1:13" x14ac:dyDescent="0.2">
      <c r="A7" s="6"/>
      <c r="C7" s="88" t="s">
        <v>43</v>
      </c>
      <c r="D7" s="88"/>
      <c r="E7" s="117">
        <f>Curr_Conv</f>
        <v>1.8640000000000001</v>
      </c>
      <c r="I7" s="7"/>
    </row>
    <row r="8" spans="1:13" x14ac:dyDescent="0.2">
      <c r="A8" s="6"/>
      <c r="C8" s="88"/>
      <c r="D8" s="88"/>
      <c r="E8" s="117"/>
      <c r="I8" s="7"/>
    </row>
    <row r="9" spans="1:13" x14ac:dyDescent="0.2">
      <c r="A9" s="6"/>
      <c r="C9" s="1" t="s">
        <v>81</v>
      </c>
      <c r="D9" s="1"/>
      <c r="E9" s="117">
        <v>10</v>
      </c>
      <c r="I9" s="7"/>
    </row>
    <row r="10" spans="1:13" x14ac:dyDescent="0.2">
      <c r="A10" s="6"/>
      <c r="C10" s="1" t="s">
        <v>82</v>
      </c>
      <c r="D10" s="1"/>
      <c r="E10" s="117">
        <v>10</v>
      </c>
      <c r="I10" s="7"/>
    </row>
    <row r="11" spans="1:13" ht="13.5" thickBot="1" x14ac:dyDescent="0.25">
      <c r="A11" s="6"/>
      <c r="I11" s="7"/>
    </row>
    <row r="12" spans="1:13" x14ac:dyDescent="0.2">
      <c r="A12" s="6"/>
      <c r="C12" s="123" t="s">
        <v>1</v>
      </c>
      <c r="D12" s="389" t="s">
        <v>156</v>
      </c>
      <c r="E12" s="124" t="s">
        <v>38</v>
      </c>
      <c r="F12" s="124" t="s">
        <v>39</v>
      </c>
      <c r="G12" s="120" t="s">
        <v>41</v>
      </c>
      <c r="H12" s="121" t="s">
        <v>41</v>
      </c>
      <c r="I12" s="7"/>
    </row>
    <row r="13" spans="1:13" ht="13.5" thickBot="1" x14ac:dyDescent="0.25">
      <c r="A13" s="6"/>
      <c r="C13" s="14"/>
      <c r="D13" s="386"/>
      <c r="E13" s="125"/>
      <c r="F13" s="125" t="s">
        <v>40</v>
      </c>
      <c r="G13" s="126" t="str">
        <f>+G4</f>
        <v>USD</v>
      </c>
      <c r="H13" s="127" t="str">
        <f>+H4</f>
        <v>EUR</v>
      </c>
      <c r="I13" s="7"/>
    </row>
    <row r="14" spans="1:13" x14ac:dyDescent="0.2">
      <c r="A14" s="6"/>
      <c r="C14" s="5" t="s">
        <v>80</v>
      </c>
      <c r="D14" s="391" t="str">
        <f>unit_length</f>
        <v>m</v>
      </c>
      <c r="E14" s="372">
        <f>ROUNDUP((((General!G12/3)*(General!G11+2))+(General!G11+2)),0)</f>
        <v>3705</v>
      </c>
      <c r="F14" s="373"/>
      <c r="G14" s="56">
        <f t="shared" ref="G14:G23" si="0">(F14*E14)</f>
        <v>0</v>
      </c>
      <c r="H14" s="57">
        <f t="shared" ref="H14:H23" si="1">(G14/$E$7)</f>
        <v>0</v>
      </c>
      <c r="I14" s="7"/>
    </row>
    <row r="15" spans="1:13" x14ac:dyDescent="0.2">
      <c r="A15" s="6"/>
      <c r="C15" s="5" t="s">
        <v>282</v>
      </c>
      <c r="D15" s="391" t="str">
        <f>unit_number</f>
        <v>each</v>
      </c>
      <c r="E15" s="374">
        <f>ROUNDUP((2*((General!G12)/'Cover Struct'!E10))+(2*((General!G11/'Cover Struct'!E9)-1)),0)</f>
        <v>40</v>
      </c>
      <c r="F15" s="373">
        <v>75</v>
      </c>
      <c r="G15" s="56">
        <f t="shared" si="0"/>
        <v>3000</v>
      </c>
      <c r="H15" s="57">
        <f t="shared" si="1"/>
        <v>1609.4420600858368</v>
      </c>
      <c r="I15" s="7"/>
    </row>
    <row r="16" spans="1:13" x14ac:dyDescent="0.2">
      <c r="A16" s="6"/>
      <c r="C16" s="104" t="s">
        <v>283</v>
      </c>
      <c r="D16" s="391" t="str">
        <f>unit_number</f>
        <v>each</v>
      </c>
      <c r="E16" s="372">
        <f>ROUNDUP((((General!G12/'Cover Struct'!E10)-2)*(((General!G11/'Cover Struct'!E9)-1))),0)</f>
        <v>79</v>
      </c>
      <c r="F16" s="373">
        <v>55</v>
      </c>
      <c r="G16" s="56">
        <f t="shared" si="0"/>
        <v>4345</v>
      </c>
      <c r="H16" s="57">
        <f t="shared" si="1"/>
        <v>2331.0085836909871</v>
      </c>
      <c r="I16" s="7"/>
    </row>
    <row r="17" spans="1:9" x14ac:dyDescent="0.2">
      <c r="A17" s="6"/>
      <c r="C17" s="5" t="s">
        <v>35</v>
      </c>
      <c r="D17" s="391" t="str">
        <f>unit_length</f>
        <v>m</v>
      </c>
      <c r="E17" s="372">
        <f>ROUNDUP((((General!G12/'Cover Struct'!E10)+1)*General!G11)+(((General!G11/'Cover Struct'!E9)+1)*General!G12),0)</f>
        <v>2328</v>
      </c>
      <c r="F17" s="373"/>
      <c r="G17" s="56">
        <f t="shared" si="0"/>
        <v>0</v>
      </c>
      <c r="H17" s="57">
        <f t="shared" si="1"/>
        <v>0</v>
      </c>
      <c r="I17" s="7"/>
    </row>
    <row r="18" spans="1:9" x14ac:dyDescent="0.2">
      <c r="A18" s="6"/>
      <c r="C18" s="5" t="s">
        <v>36</v>
      </c>
      <c r="D18" s="391" t="str">
        <f>unit_number</f>
        <v>each</v>
      </c>
      <c r="E18" s="374">
        <f>(E15)+4</f>
        <v>44</v>
      </c>
      <c r="F18" s="373"/>
      <c r="G18" s="56">
        <f t="shared" si="0"/>
        <v>0</v>
      </c>
      <c r="H18" s="57">
        <f t="shared" si="1"/>
        <v>0</v>
      </c>
      <c r="I18" s="7"/>
    </row>
    <row r="19" spans="1:9" x14ac:dyDescent="0.2">
      <c r="A19" s="6"/>
      <c r="C19" s="5" t="s">
        <v>37</v>
      </c>
      <c r="D19" s="391" t="str">
        <f>unit_length</f>
        <v>m</v>
      </c>
      <c r="E19" s="372">
        <f>ROUNDUP((((INT(General!G10/'Cover Struct'!E9)*INT(General!G12/'Cover Struct'!E10))*SQRT((E9*E9)+(E10*E10)))*2),0)</f>
        <v>2801</v>
      </c>
      <c r="F19" s="373"/>
      <c r="G19" s="56">
        <f t="shared" si="0"/>
        <v>0</v>
      </c>
      <c r="H19" s="57">
        <f t="shared" si="1"/>
        <v>0</v>
      </c>
      <c r="I19" s="7"/>
    </row>
    <row r="20" spans="1:9" x14ac:dyDescent="0.2">
      <c r="A20" s="6"/>
      <c r="C20" s="5" t="s">
        <v>44</v>
      </c>
      <c r="D20" s="391" t="str">
        <f>unit_travel</f>
        <v>km</v>
      </c>
      <c r="E20" s="372">
        <v>1</v>
      </c>
      <c r="F20" s="373"/>
      <c r="G20" s="56">
        <f t="shared" si="0"/>
        <v>0</v>
      </c>
      <c r="H20" s="57">
        <f t="shared" si="1"/>
        <v>0</v>
      </c>
      <c r="I20" s="7"/>
    </row>
    <row r="21" spans="1:9" x14ac:dyDescent="0.2">
      <c r="A21" s="6"/>
      <c r="C21" s="5" t="s">
        <v>45</v>
      </c>
      <c r="D21" s="391" t="str">
        <f>unit_number</f>
        <v>each</v>
      </c>
      <c r="E21" s="372">
        <v>1</v>
      </c>
      <c r="F21" s="373"/>
      <c r="G21" s="56">
        <f t="shared" si="0"/>
        <v>0</v>
      </c>
      <c r="H21" s="57">
        <f t="shared" si="1"/>
        <v>0</v>
      </c>
      <c r="I21" s="7"/>
    </row>
    <row r="22" spans="1:9" x14ac:dyDescent="0.2">
      <c r="A22" s="6"/>
      <c r="C22" s="5" t="s">
        <v>46</v>
      </c>
      <c r="D22" s="391" t="str">
        <f>unit_number</f>
        <v>each</v>
      </c>
      <c r="E22" s="372">
        <v>1</v>
      </c>
      <c r="F22" s="373"/>
      <c r="G22" s="56">
        <f t="shared" si="0"/>
        <v>0</v>
      </c>
      <c r="H22" s="57">
        <f t="shared" si="1"/>
        <v>0</v>
      </c>
      <c r="I22" s="7"/>
    </row>
    <row r="23" spans="1:9" ht="13.5" thickBot="1" x14ac:dyDescent="0.25">
      <c r="A23" s="6"/>
      <c r="C23" s="9" t="s">
        <v>47</v>
      </c>
      <c r="D23" s="392" t="str">
        <f>unit_time_worked</f>
        <v>$/hr</v>
      </c>
      <c r="E23" s="375">
        <v>1</v>
      </c>
      <c r="F23" s="376"/>
      <c r="G23" s="58">
        <f t="shared" si="0"/>
        <v>0</v>
      </c>
      <c r="H23" s="59">
        <f t="shared" si="1"/>
        <v>0</v>
      </c>
      <c r="I23" s="7"/>
    </row>
    <row r="24" spans="1:9" ht="13.5" thickBot="1" x14ac:dyDescent="0.25">
      <c r="A24" s="6"/>
      <c r="C24" s="16" t="s">
        <v>78</v>
      </c>
      <c r="D24" s="387"/>
      <c r="E24" s="128"/>
      <c r="F24" s="128"/>
      <c r="G24" s="129">
        <f>SUM(G14:G23)</f>
        <v>7345</v>
      </c>
      <c r="H24" s="130">
        <f>SUM(H14:H23)</f>
        <v>3940.4506437768241</v>
      </c>
      <c r="I24" s="7"/>
    </row>
    <row r="25" spans="1:9" x14ac:dyDescent="0.2">
      <c r="A25" s="6"/>
      <c r="C25" s="1"/>
      <c r="D25" s="1"/>
      <c r="G25" s="60"/>
      <c r="H25" s="60"/>
      <c r="I25" s="7"/>
    </row>
    <row r="26" spans="1:9" x14ac:dyDescent="0.2">
      <c r="A26" s="6"/>
      <c r="C26" s="1"/>
      <c r="D26" s="1"/>
      <c r="G26" s="60"/>
      <c r="H26" s="60"/>
      <c r="I26" s="7"/>
    </row>
    <row r="27" spans="1:9" ht="13.5" thickBot="1" x14ac:dyDescent="0.25">
      <c r="A27" s="6"/>
      <c r="I27" s="7"/>
    </row>
    <row r="28" spans="1:9" ht="13.5" thickBot="1" x14ac:dyDescent="0.25">
      <c r="A28" s="6"/>
      <c r="C28" s="43" t="s">
        <v>79</v>
      </c>
      <c r="F28" s="119" t="s">
        <v>95</v>
      </c>
      <c r="G28" s="120" t="str">
        <f>+G4</f>
        <v>USD</v>
      </c>
      <c r="H28" s="121" t="str">
        <f>+H4</f>
        <v>EUR</v>
      </c>
      <c r="I28" s="7"/>
    </row>
    <row r="29" spans="1:9" ht="13.5" thickBot="1" x14ac:dyDescent="0.25">
      <c r="A29" s="6"/>
      <c r="F29" s="122" t="s">
        <v>78</v>
      </c>
      <c r="G29" s="54">
        <f>(G48)</f>
        <v>1500000</v>
      </c>
      <c r="H29" s="55">
        <f>(H48)</f>
        <v>804721.0300429184</v>
      </c>
      <c r="I29" s="7"/>
    </row>
    <row r="30" spans="1:9" x14ac:dyDescent="0.2">
      <c r="A30" s="6"/>
      <c r="C30" s="88" t="s">
        <v>42</v>
      </c>
      <c r="D30" s="88"/>
      <c r="E30" s="116" t="str">
        <f>Curr_2</f>
        <v>EUR</v>
      </c>
      <c r="I30" s="7"/>
    </row>
    <row r="31" spans="1:9" x14ac:dyDescent="0.2">
      <c r="A31" s="6"/>
      <c r="C31" s="88" t="s">
        <v>43</v>
      </c>
      <c r="D31" s="88"/>
      <c r="E31" s="117">
        <f>Curr_Conv</f>
        <v>1.8640000000000001</v>
      </c>
      <c r="I31" s="7"/>
    </row>
    <row r="32" spans="1:9" ht="13.5" thickBot="1" x14ac:dyDescent="0.25">
      <c r="A32" s="6"/>
      <c r="I32" s="7"/>
    </row>
    <row r="33" spans="1:9" x14ac:dyDescent="0.2">
      <c r="A33" s="6"/>
      <c r="C33" s="123" t="s">
        <v>1</v>
      </c>
      <c r="D33" s="389" t="s">
        <v>156</v>
      </c>
      <c r="E33" s="124" t="s">
        <v>38</v>
      </c>
      <c r="F33" s="124" t="s">
        <v>39</v>
      </c>
      <c r="G33" s="120" t="s">
        <v>41</v>
      </c>
      <c r="H33" s="121" t="s">
        <v>41</v>
      </c>
      <c r="I33" s="7"/>
    </row>
    <row r="34" spans="1:9" ht="13.5" thickBot="1" x14ac:dyDescent="0.25">
      <c r="A34" s="6"/>
      <c r="C34" s="14"/>
      <c r="D34" s="386"/>
      <c r="E34" s="125"/>
      <c r="F34" s="125" t="s">
        <v>40</v>
      </c>
      <c r="G34" s="126" t="str">
        <f>+G13</f>
        <v>USD</v>
      </c>
      <c r="H34" s="127" t="str">
        <f>+H13</f>
        <v>EUR</v>
      </c>
      <c r="I34" s="7"/>
    </row>
    <row r="35" spans="1:9" x14ac:dyDescent="0.2">
      <c r="A35" s="6"/>
      <c r="C35" s="49" t="s">
        <v>83</v>
      </c>
      <c r="D35" s="391" t="str">
        <f t="shared" ref="D35:D47" si="2">unit_number</f>
        <v>each</v>
      </c>
      <c r="E35" s="377">
        <v>1</v>
      </c>
      <c r="F35" s="377">
        <v>1500000</v>
      </c>
      <c r="G35" s="61">
        <f>(F35*E35)</f>
        <v>1500000</v>
      </c>
      <c r="H35" s="62">
        <f>(G35/$E$31)</f>
        <v>804721.0300429184</v>
      </c>
      <c r="I35" s="7"/>
    </row>
    <row r="36" spans="1:9" x14ac:dyDescent="0.2">
      <c r="A36" s="6"/>
      <c r="C36" s="5" t="s">
        <v>84</v>
      </c>
      <c r="D36" s="391" t="str">
        <f t="shared" si="2"/>
        <v>each</v>
      </c>
      <c r="E36" s="378">
        <v>1</v>
      </c>
      <c r="F36" s="378"/>
      <c r="G36" s="56">
        <f t="shared" ref="G36:G47" si="3">(F36*E36)</f>
        <v>0</v>
      </c>
      <c r="H36" s="57">
        <f t="shared" ref="H36:H47" si="4">(G36/$E$31)</f>
        <v>0</v>
      </c>
      <c r="I36" s="7"/>
    </row>
    <row r="37" spans="1:9" x14ac:dyDescent="0.2">
      <c r="A37" s="6"/>
      <c r="C37" s="5" t="s">
        <v>85</v>
      </c>
      <c r="D37" s="391" t="str">
        <f t="shared" si="2"/>
        <v>each</v>
      </c>
      <c r="E37" s="378">
        <v>1</v>
      </c>
      <c r="F37" s="378"/>
      <c r="G37" s="56">
        <f t="shared" si="3"/>
        <v>0</v>
      </c>
      <c r="H37" s="57">
        <f t="shared" si="4"/>
        <v>0</v>
      </c>
      <c r="I37" s="7"/>
    </row>
    <row r="38" spans="1:9" x14ac:dyDescent="0.2">
      <c r="A38" s="6"/>
      <c r="C38" s="5" t="s">
        <v>86</v>
      </c>
      <c r="D38" s="391" t="str">
        <f t="shared" si="2"/>
        <v>each</v>
      </c>
      <c r="E38" s="378">
        <v>1</v>
      </c>
      <c r="F38" s="378"/>
      <c r="G38" s="56">
        <f t="shared" si="3"/>
        <v>0</v>
      </c>
      <c r="H38" s="57">
        <f t="shared" si="4"/>
        <v>0</v>
      </c>
      <c r="I38" s="7"/>
    </row>
    <row r="39" spans="1:9" x14ac:dyDescent="0.2">
      <c r="A39" s="6"/>
      <c r="C39" s="5" t="s">
        <v>87</v>
      </c>
      <c r="D39" s="391" t="str">
        <f t="shared" si="2"/>
        <v>each</v>
      </c>
      <c r="E39" s="378">
        <v>1</v>
      </c>
      <c r="F39" s="378"/>
      <c r="G39" s="56">
        <f t="shared" si="3"/>
        <v>0</v>
      </c>
      <c r="H39" s="57">
        <f t="shared" si="4"/>
        <v>0</v>
      </c>
      <c r="I39" s="7"/>
    </row>
    <row r="40" spans="1:9" x14ac:dyDescent="0.2">
      <c r="A40" s="6"/>
      <c r="C40" s="5" t="s">
        <v>88</v>
      </c>
      <c r="D40" s="391" t="str">
        <f t="shared" si="2"/>
        <v>each</v>
      </c>
      <c r="E40" s="378">
        <v>1</v>
      </c>
      <c r="F40" s="378"/>
      <c r="G40" s="56">
        <f t="shared" si="3"/>
        <v>0</v>
      </c>
      <c r="H40" s="57">
        <f t="shared" si="4"/>
        <v>0</v>
      </c>
      <c r="I40" s="7"/>
    </row>
    <row r="41" spans="1:9" x14ac:dyDescent="0.2">
      <c r="A41" s="6"/>
      <c r="C41" s="5" t="s">
        <v>89</v>
      </c>
      <c r="D41" s="391" t="str">
        <f t="shared" si="2"/>
        <v>each</v>
      </c>
      <c r="E41" s="378">
        <v>1</v>
      </c>
      <c r="F41" s="378"/>
      <c r="G41" s="56">
        <f t="shared" si="3"/>
        <v>0</v>
      </c>
      <c r="H41" s="57">
        <f t="shared" si="4"/>
        <v>0</v>
      </c>
      <c r="I41" s="7"/>
    </row>
    <row r="42" spans="1:9" x14ac:dyDescent="0.2">
      <c r="A42" s="6"/>
      <c r="C42" s="5" t="s">
        <v>90</v>
      </c>
      <c r="D42" s="391" t="str">
        <f t="shared" si="2"/>
        <v>each</v>
      </c>
      <c r="E42" s="378">
        <v>1</v>
      </c>
      <c r="F42" s="378"/>
      <c r="G42" s="56">
        <f t="shared" si="3"/>
        <v>0</v>
      </c>
      <c r="H42" s="57">
        <f t="shared" si="4"/>
        <v>0</v>
      </c>
      <c r="I42" s="7"/>
    </row>
    <row r="43" spans="1:9" x14ac:dyDescent="0.2">
      <c r="A43" s="6"/>
      <c r="C43" s="5" t="s">
        <v>91</v>
      </c>
      <c r="D43" s="391" t="str">
        <f t="shared" si="2"/>
        <v>each</v>
      </c>
      <c r="E43" s="378">
        <v>1</v>
      </c>
      <c r="F43" s="378"/>
      <c r="G43" s="56">
        <f t="shared" si="3"/>
        <v>0</v>
      </c>
      <c r="H43" s="57">
        <f t="shared" si="4"/>
        <v>0</v>
      </c>
      <c r="I43" s="7"/>
    </row>
    <row r="44" spans="1:9" x14ac:dyDescent="0.2">
      <c r="A44" s="6"/>
      <c r="C44" s="5" t="s">
        <v>44</v>
      </c>
      <c r="D44" s="391" t="str">
        <f t="shared" si="2"/>
        <v>each</v>
      </c>
      <c r="E44" s="378">
        <v>1</v>
      </c>
      <c r="F44" s="378"/>
      <c r="G44" s="56">
        <f t="shared" si="3"/>
        <v>0</v>
      </c>
      <c r="H44" s="57">
        <f t="shared" si="4"/>
        <v>0</v>
      </c>
      <c r="I44" s="7"/>
    </row>
    <row r="45" spans="1:9" x14ac:dyDescent="0.2">
      <c r="A45" s="6"/>
      <c r="C45" s="5" t="s">
        <v>92</v>
      </c>
      <c r="D45" s="391" t="str">
        <f t="shared" si="2"/>
        <v>each</v>
      </c>
      <c r="E45" s="378">
        <v>1</v>
      </c>
      <c r="F45" s="378"/>
      <c r="G45" s="56">
        <f t="shared" si="3"/>
        <v>0</v>
      </c>
      <c r="H45" s="57">
        <f t="shared" si="4"/>
        <v>0</v>
      </c>
      <c r="I45" s="7"/>
    </row>
    <row r="46" spans="1:9" x14ac:dyDescent="0.2">
      <c r="A46" s="6"/>
      <c r="C46" s="5" t="s">
        <v>45</v>
      </c>
      <c r="D46" s="391" t="str">
        <f t="shared" si="2"/>
        <v>each</v>
      </c>
      <c r="E46" s="378">
        <v>1</v>
      </c>
      <c r="F46" s="378"/>
      <c r="G46" s="56">
        <f t="shared" si="3"/>
        <v>0</v>
      </c>
      <c r="H46" s="57">
        <f t="shared" si="4"/>
        <v>0</v>
      </c>
      <c r="I46" s="7"/>
    </row>
    <row r="47" spans="1:9" ht="13.5" thickBot="1" x14ac:dyDescent="0.25">
      <c r="A47" s="6"/>
      <c r="C47" s="9" t="s">
        <v>93</v>
      </c>
      <c r="D47" s="391" t="str">
        <f t="shared" si="2"/>
        <v>each</v>
      </c>
      <c r="E47" s="379">
        <v>1</v>
      </c>
      <c r="F47" s="379"/>
      <c r="G47" s="58">
        <f t="shared" si="3"/>
        <v>0</v>
      </c>
      <c r="H47" s="59">
        <f t="shared" si="4"/>
        <v>0</v>
      </c>
      <c r="I47" s="7"/>
    </row>
    <row r="48" spans="1:9" ht="13.5" thickBot="1" x14ac:dyDescent="0.25">
      <c r="A48" s="6"/>
      <c r="C48" s="16" t="s">
        <v>94</v>
      </c>
      <c r="D48" s="387"/>
      <c r="E48" s="128"/>
      <c r="F48" s="128"/>
      <c r="G48" s="129">
        <f>SUM(G35:G47)</f>
        <v>1500000</v>
      </c>
      <c r="H48" s="130">
        <f>SUM(H35:H47)</f>
        <v>804721.0300429184</v>
      </c>
      <c r="I48" s="7"/>
    </row>
    <row r="49" spans="1:9" x14ac:dyDescent="0.2">
      <c r="A49" s="6"/>
      <c r="I49" s="7"/>
    </row>
    <row r="50" spans="1:9" x14ac:dyDescent="0.2">
      <c r="A50" s="6"/>
      <c r="I50" s="7"/>
    </row>
    <row r="51" spans="1:9" ht="13.5" thickBot="1" x14ac:dyDescent="0.25">
      <c r="A51" s="6"/>
      <c r="I51" s="7"/>
    </row>
    <row r="52" spans="1:9" ht="13.5" thickBot="1" x14ac:dyDescent="0.25">
      <c r="A52" s="6"/>
      <c r="C52" s="43" t="s">
        <v>96</v>
      </c>
      <c r="F52" s="119" t="s">
        <v>95</v>
      </c>
      <c r="G52" s="120" t="str">
        <f>Curr_1</f>
        <v>USD</v>
      </c>
      <c r="H52" s="121" t="str">
        <f>Curr_2</f>
        <v>EUR</v>
      </c>
      <c r="I52" s="7"/>
    </row>
    <row r="53" spans="1:9" ht="13.5" thickBot="1" x14ac:dyDescent="0.25">
      <c r="A53" s="6"/>
      <c r="F53" s="122" t="s">
        <v>78</v>
      </c>
      <c r="G53" s="54">
        <f>(G64)</f>
        <v>0</v>
      </c>
      <c r="H53" s="55">
        <f>(H64)</f>
        <v>0</v>
      </c>
      <c r="I53" s="7"/>
    </row>
    <row r="54" spans="1:9" x14ac:dyDescent="0.2">
      <c r="A54" s="6"/>
      <c r="C54" s="88" t="s">
        <v>42</v>
      </c>
      <c r="D54" s="88"/>
      <c r="E54" s="116" t="str">
        <f>Curr_2</f>
        <v>EUR</v>
      </c>
      <c r="I54" s="7"/>
    </row>
    <row r="55" spans="1:9" x14ac:dyDescent="0.2">
      <c r="A55" s="6"/>
      <c r="C55" s="88" t="s">
        <v>43</v>
      </c>
      <c r="D55" s="88"/>
      <c r="E55" s="117">
        <f>Curr_Conv</f>
        <v>1.8640000000000001</v>
      </c>
      <c r="I55" s="7"/>
    </row>
    <row r="56" spans="1:9" ht="13.5" thickBot="1" x14ac:dyDescent="0.25">
      <c r="A56" s="6"/>
      <c r="I56" s="7"/>
    </row>
    <row r="57" spans="1:9" x14ac:dyDescent="0.2">
      <c r="A57" s="6"/>
      <c r="C57" s="123" t="s">
        <v>1</v>
      </c>
      <c r="D57" s="389" t="s">
        <v>156</v>
      </c>
      <c r="E57" s="124" t="s">
        <v>38</v>
      </c>
      <c r="F57" s="124" t="s">
        <v>39</v>
      </c>
      <c r="G57" s="120" t="s">
        <v>41</v>
      </c>
      <c r="H57" s="121" t="s">
        <v>41</v>
      </c>
      <c r="I57" s="7"/>
    </row>
    <row r="58" spans="1:9" ht="13.5" thickBot="1" x14ac:dyDescent="0.25">
      <c r="A58" s="6"/>
      <c r="C58" s="14"/>
      <c r="D58" s="386"/>
      <c r="E58" s="125"/>
      <c r="F58" s="125" t="s">
        <v>40</v>
      </c>
      <c r="G58" s="126" t="str">
        <f>Curr_1</f>
        <v>USD</v>
      </c>
      <c r="H58" s="127" t="str">
        <f>Curr_2</f>
        <v>EUR</v>
      </c>
      <c r="I58" s="7"/>
    </row>
    <row r="59" spans="1:9" x14ac:dyDescent="0.2">
      <c r="A59" s="6"/>
      <c r="C59" s="49" t="s">
        <v>285</v>
      </c>
      <c r="D59" s="391" t="str">
        <f>unit_number</f>
        <v>each</v>
      </c>
      <c r="E59" s="377">
        <v>1</v>
      </c>
      <c r="F59" s="377"/>
      <c r="G59" s="61">
        <f>(F59*E59)</f>
        <v>0</v>
      </c>
      <c r="H59" s="62">
        <f>(G59/$E$55)</f>
        <v>0</v>
      </c>
      <c r="I59" s="7"/>
    </row>
    <row r="60" spans="1:9" x14ac:dyDescent="0.2">
      <c r="A60" s="6"/>
      <c r="C60" s="5" t="s">
        <v>286</v>
      </c>
      <c r="D60" s="391" t="str">
        <f>unit_number</f>
        <v>each</v>
      </c>
      <c r="E60" s="378">
        <v>1</v>
      </c>
      <c r="F60" s="378"/>
      <c r="G60" s="56">
        <f>(F60*E60)</f>
        <v>0</v>
      </c>
      <c r="H60" s="57">
        <f>(G60/$E$55)</f>
        <v>0</v>
      </c>
      <c r="I60" s="7"/>
    </row>
    <row r="61" spans="1:9" x14ac:dyDescent="0.2">
      <c r="A61" s="6"/>
      <c r="C61" s="5" t="s">
        <v>284</v>
      </c>
      <c r="D61" s="391" t="str">
        <f>unit_number</f>
        <v>each</v>
      </c>
      <c r="E61" s="378">
        <v>1</v>
      </c>
      <c r="F61" s="378"/>
      <c r="G61" s="56">
        <f>(F61*E61)</f>
        <v>0</v>
      </c>
      <c r="H61" s="57">
        <f>(G61/$E$55)</f>
        <v>0</v>
      </c>
      <c r="I61" s="7"/>
    </row>
    <row r="62" spans="1:9" x14ac:dyDescent="0.2">
      <c r="A62" s="6"/>
      <c r="C62" s="5" t="s">
        <v>287</v>
      </c>
      <c r="D62" s="391" t="str">
        <f>unit_number</f>
        <v>each</v>
      </c>
      <c r="E62" s="378">
        <v>1</v>
      </c>
      <c r="F62" s="378"/>
      <c r="G62" s="56">
        <f>(F62*E62)</f>
        <v>0</v>
      </c>
      <c r="H62" s="57">
        <f>(G62/$E$55)</f>
        <v>0</v>
      </c>
      <c r="I62" s="7"/>
    </row>
    <row r="63" spans="1:9" ht="13.5" thickBot="1" x14ac:dyDescent="0.25">
      <c r="A63" s="6"/>
      <c r="C63" s="9" t="s">
        <v>288</v>
      </c>
      <c r="D63" s="391" t="str">
        <f>unit_number</f>
        <v>each</v>
      </c>
      <c r="E63" s="379">
        <v>1</v>
      </c>
      <c r="F63" s="379"/>
      <c r="G63" s="58">
        <f>(F63*E63)</f>
        <v>0</v>
      </c>
      <c r="H63" s="59">
        <f>(G63/$E$55)</f>
        <v>0</v>
      </c>
      <c r="I63" s="7"/>
    </row>
    <row r="64" spans="1:9" ht="13.5" thickBot="1" x14ac:dyDescent="0.25">
      <c r="A64" s="6"/>
      <c r="C64" s="16" t="s">
        <v>78</v>
      </c>
      <c r="D64" s="387"/>
      <c r="E64" s="128"/>
      <c r="F64" s="128"/>
      <c r="G64" s="129">
        <f>SUM(G59:G63)</f>
        <v>0</v>
      </c>
      <c r="H64" s="130">
        <f>SUM(H59:H63)</f>
        <v>0</v>
      </c>
      <c r="I64" s="7"/>
    </row>
    <row r="65" spans="1:9" ht="13.5" thickBot="1" x14ac:dyDescent="0.25">
      <c r="A65" s="26"/>
      <c r="B65" s="27"/>
      <c r="C65" s="27"/>
      <c r="D65" s="27"/>
      <c r="E65" s="27"/>
      <c r="F65" s="27"/>
      <c r="G65" s="118"/>
      <c r="H65" s="118"/>
      <c r="I65" s="8"/>
    </row>
  </sheetData>
  <mergeCells count="1">
    <mergeCell ref="K1:M1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95"/>
  <sheetViews>
    <sheetView workbookViewId="0">
      <selection activeCell="L3" sqref="L3"/>
    </sheetView>
  </sheetViews>
  <sheetFormatPr defaultRowHeight="12.75" x14ac:dyDescent="0.2"/>
  <cols>
    <col min="1" max="1" width="1" customWidth="1"/>
    <col min="2" max="2" width="1.7109375" customWidth="1"/>
    <col min="3" max="3" width="34.140625" customWidth="1"/>
    <col min="4" max="4" width="13.28515625" customWidth="1"/>
    <col min="5" max="5" width="5.7109375" customWidth="1"/>
    <col min="6" max="6" width="11.85546875" customWidth="1"/>
    <col min="7" max="8" width="11.7109375" style="45" customWidth="1"/>
    <col min="9" max="9" width="3.7109375" customWidth="1"/>
    <col min="12" max="12" width="13.85546875" customWidth="1"/>
    <col min="13" max="13" width="13.42578125" customWidth="1"/>
    <col min="14" max="14" width="10.7109375" customWidth="1"/>
  </cols>
  <sheetData>
    <row r="1" spans="1:13" x14ac:dyDescent="0.2">
      <c r="A1" s="21"/>
      <c r="B1" s="22"/>
      <c r="C1" s="22"/>
      <c r="D1" s="22"/>
      <c r="E1" s="22"/>
      <c r="F1" s="22"/>
      <c r="G1" s="141"/>
      <c r="H1" s="141"/>
      <c r="I1" s="23"/>
      <c r="L1" s="500" t="str">
        <f>"COSTING DATA "&amp;Curr_1</f>
        <v>COSTING DATA USD</v>
      </c>
      <c r="M1" s="501"/>
    </row>
    <row r="2" spans="1:13" x14ac:dyDescent="0.2">
      <c r="A2" s="6"/>
      <c r="B2" s="24" t="s">
        <v>77</v>
      </c>
      <c r="C2" s="25"/>
      <c r="D2" s="25"/>
      <c r="E2" s="25"/>
      <c r="F2" s="25"/>
      <c r="G2" s="142"/>
      <c r="H2" s="44" t="s">
        <v>325</v>
      </c>
      <c r="I2" s="143"/>
      <c r="L2" s="66" t="s">
        <v>541</v>
      </c>
      <c r="M2" s="66" t="s">
        <v>239</v>
      </c>
    </row>
    <row r="3" spans="1:13" ht="13.5" thickBot="1" x14ac:dyDescent="0.25">
      <c r="A3" s="6"/>
      <c r="I3" s="7"/>
      <c r="L3" s="351">
        <f>(G5)</f>
        <v>251528</v>
      </c>
      <c r="M3" s="351">
        <f>(G63)</f>
        <v>0</v>
      </c>
    </row>
    <row r="4" spans="1:13" ht="13.5" thickBot="1" x14ac:dyDescent="0.25">
      <c r="A4" s="6"/>
      <c r="C4" s="43" t="s">
        <v>98</v>
      </c>
      <c r="D4" s="88"/>
      <c r="F4" s="119" t="s">
        <v>95</v>
      </c>
      <c r="G4" s="131" t="str">
        <f>Curr_1</f>
        <v>USD</v>
      </c>
      <c r="H4" s="132" t="str">
        <f>Curr_2</f>
        <v>EUR</v>
      </c>
      <c r="I4" s="7"/>
    </row>
    <row r="5" spans="1:13" ht="13.5" thickBot="1" x14ac:dyDescent="0.25">
      <c r="A5" s="6"/>
      <c r="F5" s="122" t="s">
        <v>78</v>
      </c>
      <c r="G5" s="349">
        <f>(G56)</f>
        <v>251528</v>
      </c>
      <c r="H5" s="350">
        <f>(H56)</f>
        <v>134939.91416309014</v>
      </c>
      <c r="I5" s="7"/>
    </row>
    <row r="6" spans="1:13" x14ac:dyDescent="0.2">
      <c r="A6" s="6"/>
      <c r="C6" s="88" t="s">
        <v>42</v>
      </c>
      <c r="D6" s="88"/>
      <c r="E6" s="116" t="str">
        <f>Curr_2</f>
        <v>EUR</v>
      </c>
      <c r="I6" s="7"/>
    </row>
    <row r="7" spans="1:13" x14ac:dyDescent="0.2">
      <c r="A7" s="6"/>
      <c r="C7" s="88" t="s">
        <v>43</v>
      </c>
      <c r="D7" s="88"/>
      <c r="E7" s="117">
        <f>Curr_Conv</f>
        <v>1.8640000000000001</v>
      </c>
      <c r="I7" s="7"/>
    </row>
    <row r="8" spans="1:13" x14ac:dyDescent="0.2">
      <c r="A8" s="6"/>
      <c r="C8" s="88"/>
      <c r="D8" s="88"/>
      <c r="E8" s="117"/>
      <c r="I8" s="7"/>
    </row>
    <row r="9" spans="1:13" ht="13.5" thickBot="1" x14ac:dyDescent="0.25">
      <c r="A9" s="6"/>
      <c r="C9" s="88"/>
      <c r="D9" s="88"/>
      <c r="E9" s="117"/>
      <c r="I9" s="7"/>
    </row>
    <row r="10" spans="1:13" x14ac:dyDescent="0.2">
      <c r="A10" s="6"/>
      <c r="C10" s="123" t="s">
        <v>1</v>
      </c>
      <c r="D10" s="389" t="s">
        <v>156</v>
      </c>
      <c r="E10" s="124" t="s">
        <v>38</v>
      </c>
      <c r="F10" s="124" t="s">
        <v>39</v>
      </c>
      <c r="G10" s="131" t="s">
        <v>41</v>
      </c>
      <c r="H10" s="132" t="s">
        <v>41</v>
      </c>
      <c r="I10" s="7"/>
    </row>
    <row r="11" spans="1:13" ht="13.5" thickBot="1" x14ac:dyDescent="0.25">
      <c r="A11" s="6"/>
      <c r="C11" s="14"/>
      <c r="D11" s="386"/>
      <c r="E11" s="125"/>
      <c r="F11" s="125" t="s">
        <v>40</v>
      </c>
      <c r="G11" s="133" t="str">
        <f>Curr_1</f>
        <v>USD</v>
      </c>
      <c r="H11" s="134" t="str">
        <f>Curr_2</f>
        <v>EUR</v>
      </c>
      <c r="I11" s="7"/>
    </row>
    <row r="12" spans="1:13" x14ac:dyDescent="0.2">
      <c r="A12" s="6"/>
      <c r="C12" s="49" t="s">
        <v>97</v>
      </c>
      <c r="D12" s="393" t="str">
        <f>unit_length</f>
        <v>m</v>
      </c>
      <c r="E12" s="402">
        <f>(General!D9/General!D12)*General!G10</f>
        <v>4550</v>
      </c>
      <c r="F12" s="401">
        <v>0.5</v>
      </c>
      <c r="G12" s="161">
        <f>(F12*E12)</f>
        <v>2275</v>
      </c>
      <c r="H12" s="162">
        <f>(G12/$E$7)</f>
        <v>1220.4935622317596</v>
      </c>
      <c r="I12" s="7"/>
    </row>
    <row r="13" spans="1:13" x14ac:dyDescent="0.2">
      <c r="A13" s="6"/>
      <c r="C13" s="5" t="s">
        <v>48</v>
      </c>
      <c r="D13" s="393" t="str">
        <f>unit_length</f>
        <v>m</v>
      </c>
      <c r="E13" s="368">
        <f>(General!G12*2)+General!G11</f>
        <v>324</v>
      </c>
      <c r="F13" s="369">
        <v>0.75</v>
      </c>
      <c r="G13" s="161">
        <f t="shared" ref="G13:G55" si="0">(F13*E13)</f>
        <v>243</v>
      </c>
      <c r="H13" s="162">
        <f t="shared" ref="H13:H55" si="1">(G13/$E$7)</f>
        <v>130.36480686695279</v>
      </c>
      <c r="I13" s="7"/>
    </row>
    <row r="14" spans="1:13" x14ac:dyDescent="0.2">
      <c r="A14" s="6"/>
      <c r="C14" s="5" t="s">
        <v>57</v>
      </c>
      <c r="D14" s="393" t="str">
        <f>unit_length</f>
        <v>m</v>
      </c>
      <c r="E14" s="368">
        <f>(General!D15*0.5)</f>
        <v>11000</v>
      </c>
      <c r="F14" s="369">
        <v>0.1</v>
      </c>
      <c r="G14" s="161">
        <f t="shared" si="0"/>
        <v>1100</v>
      </c>
      <c r="H14" s="162">
        <f t="shared" si="1"/>
        <v>590.12875536480681</v>
      </c>
      <c r="I14" s="7"/>
    </row>
    <row r="15" spans="1:13" x14ac:dyDescent="0.2">
      <c r="A15" s="6"/>
      <c r="C15" s="5" t="s">
        <v>49</v>
      </c>
      <c r="D15" s="391" t="str">
        <f t="shared" ref="D15:D55" si="2">unit_number</f>
        <v>each</v>
      </c>
      <c r="E15" s="368">
        <v>0</v>
      </c>
      <c r="F15" s="369"/>
      <c r="G15" s="161">
        <f t="shared" si="0"/>
        <v>0</v>
      </c>
      <c r="H15" s="162">
        <f t="shared" si="1"/>
        <v>0</v>
      </c>
      <c r="I15" s="7"/>
    </row>
    <row r="16" spans="1:13" x14ac:dyDescent="0.2">
      <c r="A16" s="6"/>
      <c r="C16" s="5" t="s">
        <v>50</v>
      </c>
      <c r="D16" s="391" t="str">
        <f t="shared" si="2"/>
        <v>each</v>
      </c>
      <c r="E16" s="368">
        <v>2</v>
      </c>
      <c r="F16" s="369">
        <v>5</v>
      </c>
      <c r="G16" s="161">
        <f t="shared" si="0"/>
        <v>10</v>
      </c>
      <c r="H16" s="162">
        <f t="shared" si="1"/>
        <v>5.3648068669527893</v>
      </c>
      <c r="I16" s="7"/>
    </row>
    <row r="17" spans="1:9" x14ac:dyDescent="0.2">
      <c r="A17" s="6"/>
      <c r="C17" s="5" t="s">
        <v>51</v>
      </c>
      <c r="D17" s="391" t="str">
        <f t="shared" si="2"/>
        <v>each</v>
      </c>
      <c r="E17" s="368">
        <f>(General!D9/General!D12)</f>
        <v>50</v>
      </c>
      <c r="F17" s="369">
        <v>5</v>
      </c>
      <c r="G17" s="161">
        <f t="shared" si="0"/>
        <v>250</v>
      </c>
      <c r="H17" s="162">
        <f t="shared" si="1"/>
        <v>134.12017167381973</v>
      </c>
      <c r="I17" s="7"/>
    </row>
    <row r="18" spans="1:9" x14ac:dyDescent="0.2">
      <c r="A18" s="6"/>
      <c r="C18" s="5" t="s">
        <v>52</v>
      </c>
      <c r="D18" s="391" t="str">
        <f t="shared" si="2"/>
        <v>each</v>
      </c>
      <c r="E18" s="368">
        <v>0</v>
      </c>
      <c r="F18" s="369"/>
      <c r="G18" s="161">
        <f t="shared" si="0"/>
        <v>0</v>
      </c>
      <c r="H18" s="162">
        <f t="shared" si="1"/>
        <v>0</v>
      </c>
      <c r="I18" s="7"/>
    </row>
    <row r="19" spans="1:9" x14ac:dyDescent="0.2">
      <c r="A19" s="6"/>
      <c r="C19" s="5" t="s">
        <v>53</v>
      </c>
      <c r="D19" s="391" t="str">
        <f t="shared" si="2"/>
        <v>each</v>
      </c>
      <c r="E19" s="368">
        <f>(E17)</f>
        <v>50</v>
      </c>
      <c r="F19" s="369">
        <v>2</v>
      </c>
      <c r="G19" s="161">
        <f t="shared" si="0"/>
        <v>100</v>
      </c>
      <c r="H19" s="162">
        <f t="shared" si="1"/>
        <v>53.648068669527895</v>
      </c>
      <c r="I19" s="7"/>
    </row>
    <row r="20" spans="1:9" x14ac:dyDescent="0.2">
      <c r="A20" s="6"/>
      <c r="C20" s="5" t="s">
        <v>54</v>
      </c>
      <c r="D20" s="391" t="str">
        <f t="shared" si="2"/>
        <v>each</v>
      </c>
      <c r="E20" s="368">
        <f>(E18)</f>
        <v>0</v>
      </c>
      <c r="F20" s="369"/>
      <c r="G20" s="161">
        <f t="shared" si="0"/>
        <v>0</v>
      </c>
      <c r="H20" s="162">
        <f t="shared" si="1"/>
        <v>0</v>
      </c>
      <c r="I20" s="7"/>
    </row>
    <row r="21" spans="1:9" x14ac:dyDescent="0.2">
      <c r="A21" s="6"/>
      <c r="C21" s="5" t="s">
        <v>55</v>
      </c>
      <c r="D21" s="391" t="str">
        <f t="shared" si="2"/>
        <v>each</v>
      </c>
      <c r="E21" s="368">
        <f>(E15+E17+E19)</f>
        <v>100</v>
      </c>
      <c r="F21" s="369">
        <v>4</v>
      </c>
      <c r="G21" s="161">
        <f t="shared" si="0"/>
        <v>400</v>
      </c>
      <c r="H21" s="162">
        <f t="shared" si="1"/>
        <v>214.59227467811158</v>
      </c>
      <c r="I21" s="7"/>
    </row>
    <row r="22" spans="1:9" x14ac:dyDescent="0.2">
      <c r="A22" s="6"/>
      <c r="C22" s="5" t="s">
        <v>56</v>
      </c>
      <c r="D22" s="391" t="str">
        <f t="shared" si="2"/>
        <v>each</v>
      </c>
      <c r="E22" s="368">
        <f>(E16+E18+E20)</f>
        <v>2</v>
      </c>
      <c r="F22" s="369"/>
      <c r="G22" s="161">
        <f t="shared" si="0"/>
        <v>0</v>
      </c>
      <c r="H22" s="162">
        <f t="shared" si="1"/>
        <v>0</v>
      </c>
      <c r="I22" s="7"/>
    </row>
    <row r="23" spans="1:9" x14ac:dyDescent="0.2">
      <c r="A23" s="6"/>
      <c r="C23" s="5" t="s">
        <v>58</v>
      </c>
      <c r="D23" s="391" t="str">
        <f t="shared" si="2"/>
        <v>each</v>
      </c>
      <c r="E23" s="368">
        <f>(General!D15)</f>
        <v>22000</v>
      </c>
      <c r="F23" s="369"/>
      <c r="G23" s="161">
        <f t="shared" si="0"/>
        <v>0</v>
      </c>
      <c r="H23" s="162">
        <f t="shared" si="1"/>
        <v>0</v>
      </c>
      <c r="I23" s="7"/>
    </row>
    <row r="24" spans="1:9" x14ac:dyDescent="0.2">
      <c r="A24" s="6"/>
      <c r="C24" s="5" t="s">
        <v>59</v>
      </c>
      <c r="D24" s="391" t="str">
        <f t="shared" si="2"/>
        <v>each</v>
      </c>
      <c r="E24" s="368">
        <f>(E23)</f>
        <v>22000</v>
      </c>
      <c r="F24" s="369"/>
      <c r="G24" s="161">
        <f t="shared" si="0"/>
        <v>0</v>
      </c>
      <c r="H24" s="162">
        <f t="shared" si="1"/>
        <v>0</v>
      </c>
      <c r="I24" s="7"/>
    </row>
    <row r="25" spans="1:9" x14ac:dyDescent="0.2">
      <c r="A25" s="6"/>
      <c r="C25" s="5" t="s">
        <v>302</v>
      </c>
      <c r="D25" s="391" t="str">
        <f t="shared" si="2"/>
        <v>each</v>
      </c>
      <c r="E25" s="368">
        <f>(E23/4)</f>
        <v>5500</v>
      </c>
      <c r="F25" s="369">
        <v>4</v>
      </c>
      <c r="G25" s="161">
        <f>(F25*E25)</f>
        <v>22000</v>
      </c>
      <c r="H25" s="162">
        <f t="shared" si="1"/>
        <v>11802.575107296138</v>
      </c>
      <c r="I25" s="7"/>
    </row>
    <row r="26" spans="1:9" x14ac:dyDescent="0.2">
      <c r="A26" s="6"/>
      <c r="C26" s="5" t="s">
        <v>60</v>
      </c>
      <c r="D26" s="391" t="str">
        <f t="shared" si="2"/>
        <v>each</v>
      </c>
      <c r="E26" s="368">
        <f>(E23)</f>
        <v>22000</v>
      </c>
      <c r="F26" s="369"/>
      <c r="G26" s="161">
        <f t="shared" si="0"/>
        <v>0</v>
      </c>
      <c r="H26" s="162">
        <f t="shared" si="1"/>
        <v>0</v>
      </c>
      <c r="I26" s="7"/>
    </row>
    <row r="27" spans="1:9" x14ac:dyDescent="0.2">
      <c r="A27" s="6"/>
      <c r="C27" s="5" t="s">
        <v>61</v>
      </c>
      <c r="D27" s="391" t="str">
        <f t="shared" si="2"/>
        <v>each</v>
      </c>
      <c r="E27" s="368">
        <v>1</v>
      </c>
      <c r="F27" s="369">
        <v>500</v>
      </c>
      <c r="G27" s="161">
        <f t="shared" si="0"/>
        <v>500</v>
      </c>
      <c r="H27" s="162">
        <f t="shared" si="1"/>
        <v>268.24034334763945</v>
      </c>
      <c r="I27" s="7"/>
    </row>
    <row r="28" spans="1:9" x14ac:dyDescent="0.2">
      <c r="A28" s="6"/>
      <c r="C28" s="5" t="s">
        <v>293</v>
      </c>
      <c r="D28" s="391" t="str">
        <f t="shared" si="2"/>
        <v>each</v>
      </c>
      <c r="E28" s="368">
        <v>1</v>
      </c>
      <c r="F28" s="369">
        <v>500</v>
      </c>
      <c r="G28" s="161">
        <f>(F28*E28)</f>
        <v>500</v>
      </c>
      <c r="H28" s="162">
        <f t="shared" si="1"/>
        <v>268.24034334763945</v>
      </c>
      <c r="I28" s="7"/>
    </row>
    <row r="29" spans="1:9" x14ac:dyDescent="0.2">
      <c r="A29" s="6"/>
      <c r="C29" s="5" t="s">
        <v>294</v>
      </c>
      <c r="D29" s="391" t="str">
        <f t="shared" si="2"/>
        <v>each</v>
      </c>
      <c r="E29" s="368">
        <v>1</v>
      </c>
      <c r="F29" s="369">
        <v>750</v>
      </c>
      <c r="G29" s="161">
        <f>(F29*E29)</f>
        <v>750</v>
      </c>
      <c r="H29" s="162">
        <f t="shared" si="1"/>
        <v>402.36051502145921</v>
      </c>
      <c r="I29" s="7"/>
    </row>
    <row r="30" spans="1:9" x14ac:dyDescent="0.2">
      <c r="A30" s="6"/>
      <c r="C30" s="5" t="s">
        <v>295</v>
      </c>
      <c r="D30" s="391" t="str">
        <f t="shared" si="2"/>
        <v>each</v>
      </c>
      <c r="E30" s="368">
        <v>1</v>
      </c>
      <c r="F30" s="369">
        <v>50</v>
      </c>
      <c r="G30" s="161">
        <f>(F30*E30)</f>
        <v>50</v>
      </c>
      <c r="H30" s="162">
        <f t="shared" si="1"/>
        <v>26.824034334763947</v>
      </c>
      <c r="I30" s="7"/>
    </row>
    <row r="31" spans="1:9" x14ac:dyDescent="0.2">
      <c r="A31" s="6"/>
      <c r="C31" s="5" t="s">
        <v>289</v>
      </c>
      <c r="D31" s="391" t="str">
        <f t="shared" si="2"/>
        <v>each</v>
      </c>
      <c r="E31" s="368">
        <v>1</v>
      </c>
      <c r="F31" s="369">
        <v>550</v>
      </c>
      <c r="G31" s="161">
        <f t="shared" si="0"/>
        <v>550</v>
      </c>
      <c r="H31" s="162">
        <f t="shared" si="1"/>
        <v>295.0643776824034</v>
      </c>
      <c r="I31" s="7"/>
    </row>
    <row r="32" spans="1:9" x14ac:dyDescent="0.2">
      <c r="A32" s="6"/>
      <c r="C32" s="5" t="s">
        <v>62</v>
      </c>
      <c r="D32" s="391" t="str">
        <f t="shared" si="2"/>
        <v>each</v>
      </c>
      <c r="E32" s="368">
        <v>1</v>
      </c>
      <c r="F32" s="369">
        <v>2000</v>
      </c>
      <c r="G32" s="161">
        <f t="shared" si="0"/>
        <v>2000</v>
      </c>
      <c r="H32" s="162">
        <f t="shared" si="1"/>
        <v>1072.9613733905578</v>
      </c>
      <c r="I32" s="7"/>
    </row>
    <row r="33" spans="1:9" x14ac:dyDescent="0.2">
      <c r="A33" s="6"/>
      <c r="C33" s="5" t="s">
        <v>63</v>
      </c>
      <c r="D33" s="391" t="str">
        <f t="shared" si="2"/>
        <v>each</v>
      </c>
      <c r="E33" s="368">
        <v>1</v>
      </c>
      <c r="F33" s="369">
        <v>2000</v>
      </c>
      <c r="G33" s="161">
        <f t="shared" si="0"/>
        <v>2000</v>
      </c>
      <c r="H33" s="162">
        <f t="shared" si="1"/>
        <v>1072.9613733905578</v>
      </c>
      <c r="I33" s="7"/>
    </row>
    <row r="34" spans="1:9" x14ac:dyDescent="0.2">
      <c r="A34" s="6"/>
      <c r="C34" s="5" t="s">
        <v>290</v>
      </c>
      <c r="D34" s="391" t="str">
        <f t="shared" si="2"/>
        <v>each</v>
      </c>
      <c r="E34" s="368">
        <v>1</v>
      </c>
      <c r="F34" s="369">
        <v>100000</v>
      </c>
      <c r="G34" s="161">
        <f t="shared" si="0"/>
        <v>100000</v>
      </c>
      <c r="H34" s="162">
        <f t="shared" si="1"/>
        <v>53648.068669527893</v>
      </c>
      <c r="I34" s="7"/>
    </row>
    <row r="35" spans="1:9" x14ac:dyDescent="0.2">
      <c r="A35" s="6"/>
      <c r="C35" s="5" t="s">
        <v>64</v>
      </c>
      <c r="D35" s="391" t="str">
        <f t="shared" si="2"/>
        <v>each</v>
      </c>
      <c r="E35" s="368">
        <v>3</v>
      </c>
      <c r="F35" s="369">
        <v>2000</v>
      </c>
      <c r="G35" s="161">
        <f t="shared" si="0"/>
        <v>6000</v>
      </c>
      <c r="H35" s="162">
        <f t="shared" si="1"/>
        <v>3218.8841201716737</v>
      </c>
      <c r="I35" s="7"/>
    </row>
    <row r="36" spans="1:9" x14ac:dyDescent="0.2">
      <c r="A36" s="6"/>
      <c r="C36" s="5" t="s">
        <v>65</v>
      </c>
      <c r="D36" s="391" t="str">
        <f t="shared" si="2"/>
        <v>each</v>
      </c>
      <c r="E36" s="368">
        <v>1</v>
      </c>
      <c r="F36" s="369">
        <v>2000</v>
      </c>
      <c r="G36" s="161">
        <f t="shared" si="0"/>
        <v>2000</v>
      </c>
      <c r="H36" s="162">
        <f t="shared" si="1"/>
        <v>1072.9613733905578</v>
      </c>
      <c r="I36" s="7"/>
    </row>
    <row r="37" spans="1:9" x14ac:dyDescent="0.2">
      <c r="A37" s="6"/>
      <c r="C37" s="5" t="s">
        <v>66</v>
      </c>
      <c r="D37" s="391" t="str">
        <f t="shared" si="2"/>
        <v>each</v>
      </c>
      <c r="E37" s="368">
        <v>1</v>
      </c>
      <c r="F37" s="369"/>
      <c r="G37" s="161">
        <f t="shared" si="0"/>
        <v>0</v>
      </c>
      <c r="H37" s="162">
        <f t="shared" si="1"/>
        <v>0</v>
      </c>
      <c r="I37" s="7"/>
    </row>
    <row r="38" spans="1:9" x14ac:dyDescent="0.2">
      <c r="A38" s="6"/>
      <c r="C38" s="5" t="s">
        <v>67</v>
      </c>
      <c r="D38" s="391" t="str">
        <f t="shared" si="2"/>
        <v>each</v>
      </c>
      <c r="E38" s="368">
        <v>1</v>
      </c>
      <c r="F38" s="369">
        <v>10000</v>
      </c>
      <c r="G38" s="161">
        <f t="shared" si="0"/>
        <v>10000</v>
      </c>
      <c r="H38" s="162">
        <f t="shared" si="1"/>
        <v>5364.8068669527893</v>
      </c>
      <c r="I38" s="7"/>
    </row>
    <row r="39" spans="1:9" x14ac:dyDescent="0.2">
      <c r="A39" s="6"/>
      <c r="C39" s="5" t="s">
        <v>68</v>
      </c>
      <c r="D39" s="391" t="str">
        <f t="shared" si="2"/>
        <v>each</v>
      </c>
      <c r="E39" s="368">
        <v>1</v>
      </c>
      <c r="F39" s="369">
        <v>500</v>
      </c>
      <c r="G39" s="161">
        <f t="shared" si="0"/>
        <v>500</v>
      </c>
      <c r="H39" s="162">
        <f t="shared" si="1"/>
        <v>268.24034334763945</v>
      </c>
      <c r="I39" s="7"/>
    </row>
    <row r="40" spans="1:9" x14ac:dyDescent="0.2">
      <c r="A40" s="6"/>
      <c r="C40" s="5" t="s">
        <v>69</v>
      </c>
      <c r="D40" s="391" t="str">
        <f t="shared" si="2"/>
        <v>each</v>
      </c>
      <c r="E40" s="368">
        <v>1</v>
      </c>
      <c r="F40" s="369">
        <v>5000</v>
      </c>
      <c r="G40" s="161">
        <f t="shared" si="0"/>
        <v>5000</v>
      </c>
      <c r="H40" s="162">
        <f t="shared" si="1"/>
        <v>2682.4034334763946</v>
      </c>
      <c r="I40" s="7"/>
    </row>
    <row r="41" spans="1:9" x14ac:dyDescent="0.2">
      <c r="A41" s="6"/>
      <c r="C41" s="5" t="s">
        <v>70</v>
      </c>
      <c r="D41" s="391" t="str">
        <f t="shared" si="2"/>
        <v>each</v>
      </c>
      <c r="E41" s="368">
        <v>1</v>
      </c>
      <c r="F41" s="369">
        <v>10000</v>
      </c>
      <c r="G41" s="161">
        <f t="shared" si="0"/>
        <v>10000</v>
      </c>
      <c r="H41" s="162">
        <f t="shared" si="1"/>
        <v>5364.8068669527893</v>
      </c>
      <c r="I41" s="7"/>
    </row>
    <row r="42" spans="1:9" x14ac:dyDescent="0.2">
      <c r="A42" s="6"/>
      <c r="C42" s="5" t="s">
        <v>71</v>
      </c>
      <c r="D42" s="391" t="str">
        <f t="shared" si="2"/>
        <v>each</v>
      </c>
      <c r="E42" s="368">
        <v>1</v>
      </c>
      <c r="F42" s="369"/>
      <c r="G42" s="161">
        <f t="shared" si="0"/>
        <v>0</v>
      </c>
      <c r="H42" s="162">
        <f t="shared" si="1"/>
        <v>0</v>
      </c>
      <c r="I42" s="7"/>
    </row>
    <row r="43" spans="1:9" x14ac:dyDescent="0.2">
      <c r="A43" s="6"/>
      <c r="C43" s="5" t="s">
        <v>72</v>
      </c>
      <c r="D43" s="391" t="str">
        <f t="shared" si="2"/>
        <v>each</v>
      </c>
      <c r="E43" s="368">
        <v>2</v>
      </c>
      <c r="F43" s="369"/>
      <c r="G43" s="161">
        <f t="shared" si="0"/>
        <v>0</v>
      </c>
      <c r="H43" s="162">
        <f t="shared" si="1"/>
        <v>0</v>
      </c>
      <c r="I43" s="7"/>
    </row>
    <row r="44" spans="1:9" x14ac:dyDescent="0.2">
      <c r="A44" s="6"/>
      <c r="C44" s="5" t="s">
        <v>73</v>
      </c>
      <c r="D44" s="391" t="str">
        <f t="shared" si="2"/>
        <v>each</v>
      </c>
      <c r="E44" s="368">
        <v>1</v>
      </c>
      <c r="F44" s="369">
        <v>400</v>
      </c>
      <c r="G44" s="161">
        <f t="shared" si="0"/>
        <v>400</v>
      </c>
      <c r="H44" s="162">
        <f t="shared" si="1"/>
        <v>214.59227467811158</v>
      </c>
      <c r="I44" s="7"/>
    </row>
    <row r="45" spans="1:9" x14ac:dyDescent="0.2">
      <c r="A45" s="6"/>
      <c r="C45" s="5" t="s">
        <v>74</v>
      </c>
      <c r="D45" s="391" t="str">
        <f t="shared" si="2"/>
        <v>each</v>
      </c>
      <c r="E45" s="368">
        <v>1</v>
      </c>
      <c r="F45" s="369">
        <v>400</v>
      </c>
      <c r="G45" s="161">
        <f t="shared" si="0"/>
        <v>400</v>
      </c>
      <c r="H45" s="162">
        <f t="shared" si="1"/>
        <v>214.59227467811158</v>
      </c>
      <c r="I45" s="7"/>
    </row>
    <row r="46" spans="1:9" x14ac:dyDescent="0.2">
      <c r="A46" s="6"/>
      <c r="C46" s="9" t="s">
        <v>291</v>
      </c>
      <c r="D46" s="391" t="str">
        <f t="shared" si="2"/>
        <v>each</v>
      </c>
      <c r="E46" s="370">
        <v>1</v>
      </c>
      <c r="F46" s="371"/>
      <c r="G46" s="161">
        <f t="shared" ref="G46:G53" si="3">(F46*E46)</f>
        <v>0</v>
      </c>
      <c r="H46" s="162">
        <f t="shared" si="1"/>
        <v>0</v>
      </c>
      <c r="I46" s="7"/>
    </row>
    <row r="47" spans="1:9" x14ac:dyDescent="0.2">
      <c r="A47" s="6"/>
      <c r="C47" s="9" t="s">
        <v>292</v>
      </c>
      <c r="D47" s="391" t="str">
        <f t="shared" si="2"/>
        <v>each</v>
      </c>
      <c r="E47" s="370">
        <v>1</v>
      </c>
      <c r="F47" s="371"/>
      <c r="G47" s="161">
        <f t="shared" si="3"/>
        <v>0</v>
      </c>
      <c r="H47" s="162">
        <f t="shared" si="1"/>
        <v>0</v>
      </c>
      <c r="I47" s="7"/>
    </row>
    <row r="48" spans="1:9" x14ac:dyDescent="0.2">
      <c r="A48" s="6"/>
      <c r="C48" s="5" t="s">
        <v>75</v>
      </c>
      <c r="D48" s="391" t="str">
        <f t="shared" si="2"/>
        <v>each</v>
      </c>
      <c r="E48" s="370">
        <v>1</v>
      </c>
      <c r="F48" s="371"/>
      <c r="G48" s="161">
        <f t="shared" si="3"/>
        <v>0</v>
      </c>
      <c r="H48" s="162">
        <f t="shared" si="1"/>
        <v>0</v>
      </c>
      <c r="I48" s="7"/>
    </row>
    <row r="49" spans="1:9" x14ac:dyDescent="0.2">
      <c r="A49" s="6"/>
      <c r="C49" s="5" t="s">
        <v>296</v>
      </c>
      <c r="D49" s="391" t="str">
        <f t="shared" si="2"/>
        <v>each</v>
      </c>
      <c r="E49" s="370">
        <v>1</v>
      </c>
      <c r="F49" s="371">
        <v>5000</v>
      </c>
      <c r="G49" s="161">
        <f t="shared" si="3"/>
        <v>5000</v>
      </c>
      <c r="H49" s="162">
        <f t="shared" si="1"/>
        <v>2682.4034334763946</v>
      </c>
      <c r="I49" s="7"/>
    </row>
    <row r="50" spans="1:9" x14ac:dyDescent="0.2">
      <c r="A50" s="6"/>
      <c r="C50" s="5" t="s">
        <v>297</v>
      </c>
      <c r="D50" s="391" t="str">
        <f t="shared" si="2"/>
        <v>each</v>
      </c>
      <c r="E50" s="370">
        <v>1</v>
      </c>
      <c r="F50" s="371"/>
      <c r="G50" s="161">
        <f t="shared" si="3"/>
        <v>0</v>
      </c>
      <c r="H50" s="162">
        <f t="shared" si="1"/>
        <v>0</v>
      </c>
      <c r="I50" s="7"/>
    </row>
    <row r="51" spans="1:9" x14ac:dyDescent="0.2">
      <c r="A51" s="6"/>
      <c r="C51" s="5" t="s">
        <v>300</v>
      </c>
      <c r="D51" s="391" t="str">
        <f t="shared" si="2"/>
        <v>each</v>
      </c>
      <c r="E51" s="370">
        <v>1</v>
      </c>
      <c r="F51" s="371">
        <v>5000</v>
      </c>
      <c r="G51" s="161">
        <f t="shared" si="3"/>
        <v>5000</v>
      </c>
      <c r="H51" s="162">
        <f t="shared" si="1"/>
        <v>2682.4034334763946</v>
      </c>
      <c r="I51" s="7"/>
    </row>
    <row r="52" spans="1:9" x14ac:dyDescent="0.2">
      <c r="A52" s="6"/>
      <c r="C52" s="5" t="s">
        <v>299</v>
      </c>
      <c r="D52" s="391" t="str">
        <f t="shared" si="2"/>
        <v>each</v>
      </c>
      <c r="E52" s="370">
        <v>1</v>
      </c>
      <c r="F52" s="371">
        <v>500</v>
      </c>
      <c r="G52" s="161">
        <f t="shared" si="3"/>
        <v>500</v>
      </c>
      <c r="H52" s="162">
        <f t="shared" si="1"/>
        <v>268.24034334763945</v>
      </c>
      <c r="I52" s="7"/>
    </row>
    <row r="53" spans="1:9" x14ac:dyDescent="0.2">
      <c r="A53" s="6"/>
      <c r="C53" s="49" t="s">
        <v>298</v>
      </c>
      <c r="D53" s="391" t="str">
        <f t="shared" si="2"/>
        <v>each</v>
      </c>
      <c r="E53" s="370">
        <v>2</v>
      </c>
      <c r="F53" s="371">
        <v>2000</v>
      </c>
      <c r="G53" s="161">
        <f t="shared" si="3"/>
        <v>4000</v>
      </c>
      <c r="H53" s="162">
        <f t="shared" si="1"/>
        <v>2145.9227467811156</v>
      </c>
      <c r="I53" s="7"/>
    </row>
    <row r="54" spans="1:9" x14ac:dyDescent="0.2">
      <c r="A54" s="6"/>
      <c r="C54" s="104" t="s">
        <v>301</v>
      </c>
      <c r="D54" s="391" t="str">
        <f t="shared" si="2"/>
        <v>each</v>
      </c>
      <c r="E54" s="370">
        <v>1</v>
      </c>
      <c r="F54" s="371">
        <v>20000</v>
      </c>
      <c r="G54" s="161">
        <f>(F54*E54)</f>
        <v>20000</v>
      </c>
      <c r="H54" s="162">
        <f t="shared" si="1"/>
        <v>10729.613733905579</v>
      </c>
      <c r="I54" s="7"/>
    </row>
    <row r="55" spans="1:9" ht="13.5" thickBot="1" x14ac:dyDescent="0.25">
      <c r="A55" s="6"/>
      <c r="C55" s="104" t="s">
        <v>111</v>
      </c>
      <c r="D55" s="391" t="str">
        <f t="shared" si="2"/>
        <v>each</v>
      </c>
      <c r="E55" s="370">
        <v>1</v>
      </c>
      <c r="F55" s="112">
        <v>50000</v>
      </c>
      <c r="G55" s="161">
        <f t="shared" si="0"/>
        <v>50000</v>
      </c>
      <c r="H55" s="162">
        <f t="shared" si="1"/>
        <v>26824.034334763946</v>
      </c>
      <c r="I55" s="7"/>
    </row>
    <row r="56" spans="1:9" ht="13.5" thickBot="1" x14ac:dyDescent="0.25">
      <c r="A56" s="6"/>
      <c r="C56" s="16" t="s">
        <v>78</v>
      </c>
      <c r="D56" s="387"/>
      <c r="E56" s="128"/>
      <c r="F56" s="163"/>
      <c r="G56" s="164">
        <f>SUM(G12:G55)</f>
        <v>251528</v>
      </c>
      <c r="H56" s="165">
        <f>SUM(H12:H55)</f>
        <v>134939.91416309014</v>
      </c>
      <c r="I56" s="7"/>
    </row>
    <row r="57" spans="1:9" ht="13.5" thickBot="1" x14ac:dyDescent="0.25">
      <c r="A57" s="26"/>
      <c r="B57" s="27"/>
      <c r="C57" s="144"/>
      <c r="D57" s="144"/>
      <c r="E57" s="27"/>
      <c r="F57" s="118"/>
      <c r="G57" s="145"/>
      <c r="H57" s="145"/>
      <c r="I57" s="8"/>
    </row>
    <row r="58" spans="1:9" ht="13.5" thickBot="1" x14ac:dyDescent="0.25">
      <c r="C58" s="1"/>
      <c r="D58" s="1"/>
      <c r="F58" s="53"/>
      <c r="G58" s="60"/>
      <c r="H58" s="60"/>
    </row>
    <row r="59" spans="1:9" x14ac:dyDescent="0.2">
      <c r="A59" s="21"/>
      <c r="B59" s="22"/>
      <c r="C59" s="22"/>
      <c r="D59" s="22"/>
      <c r="E59" s="22"/>
      <c r="F59" s="22"/>
      <c r="G59" s="141"/>
      <c r="H59" s="141"/>
      <c r="I59" s="23"/>
    </row>
    <row r="60" spans="1:9" x14ac:dyDescent="0.2">
      <c r="A60" s="6"/>
      <c r="B60" s="24" t="s">
        <v>77</v>
      </c>
      <c r="C60" s="25"/>
      <c r="D60" s="25"/>
      <c r="E60" s="25"/>
      <c r="F60" s="25"/>
      <c r="G60" s="142"/>
      <c r="H60" s="44" t="s">
        <v>326</v>
      </c>
      <c r="I60" s="143"/>
    </row>
    <row r="61" spans="1:9" ht="13.5" thickBot="1" x14ac:dyDescent="0.25">
      <c r="A61" s="6"/>
      <c r="I61" s="7"/>
    </row>
    <row r="62" spans="1:9" ht="13.5" thickBot="1" x14ac:dyDescent="0.25">
      <c r="A62" s="6"/>
      <c r="C62" s="43" t="s">
        <v>281</v>
      </c>
      <c r="D62" s="88"/>
      <c r="F62" s="119" t="s">
        <v>95</v>
      </c>
      <c r="G62" s="131" t="str">
        <f>Curr_1</f>
        <v>USD</v>
      </c>
      <c r="H62" s="132" t="str">
        <f>Curr_2</f>
        <v>EUR</v>
      </c>
      <c r="I62" s="7"/>
    </row>
    <row r="63" spans="1:9" ht="13.5" thickBot="1" x14ac:dyDescent="0.25">
      <c r="A63" s="6"/>
      <c r="F63" s="122" t="s">
        <v>78</v>
      </c>
      <c r="G63" s="47">
        <f>(G94)</f>
        <v>0</v>
      </c>
      <c r="H63" s="48">
        <f>(H94)</f>
        <v>0</v>
      </c>
      <c r="I63" s="7"/>
    </row>
    <row r="64" spans="1:9" x14ac:dyDescent="0.2">
      <c r="A64" s="6"/>
      <c r="C64" s="88" t="s">
        <v>42</v>
      </c>
      <c r="D64" s="88"/>
      <c r="E64" s="116" t="str">
        <f>Curr_2</f>
        <v>EUR</v>
      </c>
      <c r="I64" s="7"/>
    </row>
    <row r="65" spans="1:9" x14ac:dyDescent="0.2">
      <c r="A65" s="6"/>
      <c r="C65" s="88" t="s">
        <v>43</v>
      </c>
      <c r="D65" s="88"/>
      <c r="E65" s="117">
        <f>Curr_Conv</f>
        <v>1.8640000000000001</v>
      </c>
      <c r="I65" s="7"/>
    </row>
    <row r="66" spans="1:9" x14ac:dyDescent="0.2">
      <c r="A66" s="6"/>
      <c r="I66" s="7"/>
    </row>
    <row r="67" spans="1:9" ht="13.5" thickBot="1" x14ac:dyDescent="0.25">
      <c r="A67" s="6"/>
      <c r="I67" s="7"/>
    </row>
    <row r="68" spans="1:9" x14ac:dyDescent="0.2">
      <c r="A68" s="6"/>
      <c r="C68" s="123" t="s">
        <v>1</v>
      </c>
      <c r="D68" s="389" t="s">
        <v>156</v>
      </c>
      <c r="E68" s="124" t="s">
        <v>38</v>
      </c>
      <c r="F68" s="124" t="s">
        <v>39</v>
      </c>
      <c r="G68" s="131" t="s">
        <v>41</v>
      </c>
      <c r="H68" s="132" t="s">
        <v>41</v>
      </c>
      <c r="I68" s="7"/>
    </row>
    <row r="69" spans="1:9" ht="13.5" thickBot="1" x14ac:dyDescent="0.25">
      <c r="A69" s="6"/>
      <c r="C69" s="14"/>
      <c r="D69" s="386"/>
      <c r="E69" s="125"/>
      <c r="F69" s="125" t="s">
        <v>40</v>
      </c>
      <c r="G69" s="133" t="str">
        <f>Curr_1</f>
        <v>USD</v>
      </c>
      <c r="H69" s="134" t="str">
        <f>Curr_2</f>
        <v>EUR</v>
      </c>
      <c r="I69" s="7"/>
    </row>
    <row r="70" spans="1:9" x14ac:dyDescent="0.2">
      <c r="A70" s="6"/>
      <c r="C70" s="49" t="s">
        <v>321</v>
      </c>
      <c r="D70" s="393" t="str">
        <f>unit_length</f>
        <v>m</v>
      </c>
      <c r="E70" s="402">
        <f>ROUNDUP(((General!D9/General!D12)-1)*(General!G11-((General!G8/10)*2)),0)</f>
        <v>2989</v>
      </c>
      <c r="F70" s="401"/>
      <c r="G70" s="161">
        <f>(F70*E70)</f>
        <v>0</v>
      </c>
      <c r="H70" s="162">
        <f>(G70/$E$65)</f>
        <v>0</v>
      </c>
      <c r="I70" s="7"/>
    </row>
    <row r="71" spans="1:9" ht="14.25" x14ac:dyDescent="0.2">
      <c r="A71" s="6"/>
      <c r="C71" s="5" t="s">
        <v>322</v>
      </c>
      <c r="D71" s="391" t="str">
        <f>unit_vol_material</f>
        <v>m3</v>
      </c>
      <c r="E71" s="368">
        <f>ROUNDUP((E70*1*0.1),0)</f>
        <v>299</v>
      </c>
      <c r="F71" s="369"/>
      <c r="G71" s="111">
        <f t="shared" ref="G71:G93" si="4">(F71*E71)</f>
        <v>0</v>
      </c>
      <c r="H71" s="166">
        <f t="shared" ref="H71:H93" si="5">(G71/$E$65)</f>
        <v>0</v>
      </c>
      <c r="I71" s="7"/>
    </row>
    <row r="72" spans="1:9" x14ac:dyDescent="0.2">
      <c r="A72" s="6"/>
      <c r="C72" s="5" t="s">
        <v>323</v>
      </c>
      <c r="D72" s="393" t="str">
        <f>unit_length</f>
        <v>m</v>
      </c>
      <c r="E72" s="368">
        <f>ROUNDUP((E70*2),0)</f>
        <v>5978</v>
      </c>
      <c r="F72" s="369"/>
      <c r="G72" s="111">
        <f t="shared" si="4"/>
        <v>0</v>
      </c>
      <c r="H72" s="166">
        <f t="shared" si="5"/>
        <v>0</v>
      </c>
      <c r="I72" s="7"/>
    </row>
    <row r="73" spans="1:9" x14ac:dyDescent="0.2">
      <c r="A73" s="6"/>
      <c r="C73" s="5" t="s">
        <v>303</v>
      </c>
      <c r="D73" s="391" t="str">
        <f t="shared" ref="D73:D93" si="6">unit_number</f>
        <v>each</v>
      </c>
      <c r="E73" s="368">
        <v>1</v>
      </c>
      <c r="F73" s="369"/>
      <c r="G73" s="111">
        <f t="shared" si="4"/>
        <v>0</v>
      </c>
      <c r="H73" s="166">
        <f t="shared" si="5"/>
        <v>0</v>
      </c>
      <c r="I73" s="7"/>
    </row>
    <row r="74" spans="1:9" x14ac:dyDescent="0.2">
      <c r="A74" s="6"/>
      <c r="C74" s="5" t="s">
        <v>304</v>
      </c>
      <c r="D74" s="391" t="str">
        <f t="shared" si="6"/>
        <v>each</v>
      </c>
      <c r="E74" s="368">
        <v>1</v>
      </c>
      <c r="F74" s="369"/>
      <c r="G74" s="111">
        <f t="shared" si="4"/>
        <v>0</v>
      </c>
      <c r="H74" s="166">
        <f t="shared" si="5"/>
        <v>0</v>
      </c>
      <c r="I74" s="7"/>
    </row>
    <row r="75" spans="1:9" x14ac:dyDescent="0.2">
      <c r="A75" s="6"/>
      <c r="C75" s="5" t="s">
        <v>305</v>
      </c>
      <c r="D75" s="391" t="str">
        <f t="shared" si="6"/>
        <v>each</v>
      </c>
      <c r="E75" s="368">
        <v>1</v>
      </c>
      <c r="F75" s="369"/>
      <c r="G75" s="111">
        <f t="shared" si="4"/>
        <v>0</v>
      </c>
      <c r="H75" s="166">
        <f t="shared" si="5"/>
        <v>0</v>
      </c>
      <c r="I75" s="7"/>
    </row>
    <row r="76" spans="1:9" x14ac:dyDescent="0.2">
      <c r="A76" s="6"/>
      <c r="C76" s="5" t="s">
        <v>306</v>
      </c>
      <c r="D76" s="391" t="str">
        <f t="shared" si="6"/>
        <v>each</v>
      </c>
      <c r="E76" s="368">
        <f>ROUNDUP(((General!D9/General!D12)-1),0)</f>
        <v>49</v>
      </c>
      <c r="F76" s="369"/>
      <c r="G76" s="111">
        <f t="shared" si="4"/>
        <v>0</v>
      </c>
      <c r="H76" s="166">
        <f t="shared" si="5"/>
        <v>0</v>
      </c>
      <c r="I76" s="7"/>
    </row>
    <row r="77" spans="1:9" x14ac:dyDescent="0.2">
      <c r="A77" s="6"/>
      <c r="C77" s="5" t="s">
        <v>307</v>
      </c>
      <c r="D77" s="391" t="str">
        <f t="shared" si="6"/>
        <v>each</v>
      </c>
      <c r="E77" s="368">
        <v>1</v>
      </c>
      <c r="F77" s="369"/>
      <c r="G77" s="111">
        <f t="shared" si="4"/>
        <v>0</v>
      </c>
      <c r="H77" s="166">
        <f t="shared" si="5"/>
        <v>0</v>
      </c>
      <c r="I77" s="7"/>
    </row>
    <row r="78" spans="1:9" x14ac:dyDescent="0.2">
      <c r="A78" s="6"/>
      <c r="C78" s="5" t="s">
        <v>308</v>
      </c>
      <c r="D78" s="391" t="str">
        <f t="shared" si="6"/>
        <v>each</v>
      </c>
      <c r="E78" s="368">
        <v>4</v>
      </c>
      <c r="F78" s="369"/>
      <c r="G78" s="111">
        <f t="shared" si="4"/>
        <v>0</v>
      </c>
      <c r="H78" s="166">
        <f t="shared" si="5"/>
        <v>0</v>
      </c>
      <c r="I78" s="7"/>
    </row>
    <row r="79" spans="1:9" x14ac:dyDescent="0.2">
      <c r="A79" s="6"/>
      <c r="C79" s="5" t="s">
        <v>309</v>
      </c>
      <c r="D79" s="391" t="str">
        <f t="shared" si="6"/>
        <v>each</v>
      </c>
      <c r="E79" s="368">
        <f>(E76)</f>
        <v>49</v>
      </c>
      <c r="F79" s="369"/>
      <c r="G79" s="111">
        <f t="shared" si="4"/>
        <v>0</v>
      </c>
      <c r="H79" s="166">
        <f t="shared" si="5"/>
        <v>0</v>
      </c>
      <c r="I79" s="7"/>
    </row>
    <row r="80" spans="1:9" x14ac:dyDescent="0.2">
      <c r="A80" s="6"/>
      <c r="C80" s="5" t="s">
        <v>310</v>
      </c>
      <c r="D80" s="391" t="str">
        <f t="shared" si="6"/>
        <v>each</v>
      </c>
      <c r="E80" s="368">
        <f>ROUNDUP((General!G12+E70),0)</f>
        <v>3106</v>
      </c>
      <c r="F80" s="369"/>
      <c r="G80" s="111">
        <f t="shared" si="4"/>
        <v>0</v>
      </c>
      <c r="H80" s="166">
        <f t="shared" si="5"/>
        <v>0</v>
      </c>
      <c r="I80" s="7"/>
    </row>
    <row r="81" spans="1:9" x14ac:dyDescent="0.2">
      <c r="A81" s="6"/>
      <c r="C81" s="5" t="s">
        <v>311</v>
      </c>
      <c r="D81" s="391" t="str">
        <f t="shared" si="6"/>
        <v>each</v>
      </c>
      <c r="E81" s="368">
        <f>ROUNDUP(General!G12,0)</f>
        <v>117</v>
      </c>
      <c r="F81" s="369"/>
      <c r="G81" s="111">
        <f t="shared" si="4"/>
        <v>0</v>
      </c>
      <c r="H81" s="166">
        <f t="shared" si="5"/>
        <v>0</v>
      </c>
      <c r="I81" s="7"/>
    </row>
    <row r="82" spans="1:9" x14ac:dyDescent="0.2">
      <c r="A82" s="6"/>
      <c r="C82" s="5" t="s">
        <v>295</v>
      </c>
      <c r="D82" s="391" t="str">
        <f t="shared" si="6"/>
        <v>each</v>
      </c>
      <c r="E82" s="368">
        <v>1</v>
      </c>
      <c r="F82" s="369"/>
      <c r="G82" s="111">
        <f t="shared" si="4"/>
        <v>0</v>
      </c>
      <c r="H82" s="166">
        <f t="shared" si="5"/>
        <v>0</v>
      </c>
      <c r="I82" s="7"/>
    </row>
    <row r="83" spans="1:9" x14ac:dyDescent="0.2">
      <c r="A83" s="6"/>
      <c r="C83" s="5" t="s">
        <v>296</v>
      </c>
      <c r="D83" s="391" t="str">
        <f t="shared" si="6"/>
        <v>each</v>
      </c>
      <c r="E83" s="368">
        <v>1</v>
      </c>
      <c r="F83" s="369"/>
      <c r="G83" s="111">
        <f t="shared" si="4"/>
        <v>0</v>
      </c>
      <c r="H83" s="166">
        <f t="shared" si="5"/>
        <v>0</v>
      </c>
      <c r="I83" s="7"/>
    </row>
    <row r="84" spans="1:9" x14ac:dyDescent="0.2">
      <c r="A84" s="6"/>
      <c r="C84" s="5" t="s">
        <v>324</v>
      </c>
      <c r="D84" s="391" t="str">
        <f t="shared" si="6"/>
        <v>each</v>
      </c>
      <c r="E84" s="368">
        <v>1</v>
      </c>
      <c r="F84" s="369"/>
      <c r="G84" s="111">
        <f t="shared" si="4"/>
        <v>0</v>
      </c>
      <c r="H84" s="166">
        <f t="shared" si="5"/>
        <v>0</v>
      </c>
      <c r="I84" s="7"/>
    </row>
    <row r="85" spans="1:9" x14ac:dyDescent="0.2">
      <c r="A85" s="6"/>
      <c r="C85" s="5" t="s">
        <v>314</v>
      </c>
      <c r="D85" s="391" t="str">
        <f t="shared" si="6"/>
        <v>each</v>
      </c>
      <c r="E85" s="368">
        <v>1</v>
      </c>
      <c r="F85" s="369"/>
      <c r="G85" s="111">
        <f t="shared" si="4"/>
        <v>0</v>
      </c>
      <c r="H85" s="166">
        <f t="shared" si="5"/>
        <v>0</v>
      </c>
      <c r="I85" s="7"/>
    </row>
    <row r="86" spans="1:9" x14ac:dyDescent="0.2">
      <c r="A86" s="6"/>
      <c r="C86" s="5" t="s">
        <v>315</v>
      </c>
      <c r="D86" s="391" t="str">
        <f t="shared" si="6"/>
        <v>each</v>
      </c>
      <c r="E86" s="368">
        <v>1</v>
      </c>
      <c r="F86" s="369"/>
      <c r="G86" s="111">
        <f t="shared" si="4"/>
        <v>0</v>
      </c>
      <c r="H86" s="166">
        <f t="shared" si="5"/>
        <v>0</v>
      </c>
      <c r="I86" s="7"/>
    </row>
    <row r="87" spans="1:9" x14ac:dyDescent="0.2">
      <c r="A87" s="6"/>
      <c r="C87" s="5" t="s">
        <v>316</v>
      </c>
      <c r="D87" s="391" t="str">
        <f t="shared" si="6"/>
        <v>each</v>
      </c>
      <c r="E87" s="368">
        <v>1</v>
      </c>
      <c r="F87" s="369"/>
      <c r="G87" s="111">
        <f t="shared" si="4"/>
        <v>0</v>
      </c>
      <c r="H87" s="166">
        <f t="shared" si="5"/>
        <v>0</v>
      </c>
      <c r="I87" s="7"/>
    </row>
    <row r="88" spans="1:9" x14ac:dyDescent="0.2">
      <c r="A88" s="6"/>
      <c r="C88" s="5" t="s">
        <v>317</v>
      </c>
      <c r="D88" s="391" t="str">
        <f t="shared" si="6"/>
        <v>each</v>
      </c>
      <c r="E88" s="368">
        <v>1</v>
      </c>
      <c r="F88" s="369"/>
      <c r="G88" s="111">
        <f t="shared" si="4"/>
        <v>0</v>
      </c>
      <c r="H88" s="166">
        <f t="shared" si="5"/>
        <v>0</v>
      </c>
      <c r="I88" s="7"/>
    </row>
    <row r="89" spans="1:9" x14ac:dyDescent="0.2">
      <c r="A89" s="6"/>
      <c r="C89" s="5" t="s">
        <v>318</v>
      </c>
      <c r="D89" s="391" t="str">
        <f t="shared" si="6"/>
        <v>each</v>
      </c>
      <c r="E89" s="368">
        <v>1</v>
      </c>
      <c r="F89" s="369"/>
      <c r="G89" s="111">
        <f t="shared" si="4"/>
        <v>0</v>
      </c>
      <c r="H89" s="166">
        <f t="shared" si="5"/>
        <v>0</v>
      </c>
      <c r="I89" s="7"/>
    </row>
    <row r="90" spans="1:9" x14ac:dyDescent="0.2">
      <c r="A90" s="6"/>
      <c r="C90" s="5" t="s">
        <v>319</v>
      </c>
      <c r="D90" s="391" t="str">
        <f t="shared" si="6"/>
        <v>each</v>
      </c>
      <c r="E90" s="368">
        <v>1</v>
      </c>
      <c r="F90" s="369"/>
      <c r="G90" s="111">
        <f t="shared" si="4"/>
        <v>0</v>
      </c>
      <c r="H90" s="166">
        <f t="shared" si="5"/>
        <v>0</v>
      </c>
      <c r="I90" s="7"/>
    </row>
    <row r="91" spans="1:9" x14ac:dyDescent="0.2">
      <c r="A91" s="6"/>
      <c r="C91" s="5" t="s">
        <v>320</v>
      </c>
      <c r="D91" s="391" t="str">
        <f t="shared" si="6"/>
        <v>each</v>
      </c>
      <c r="E91" s="368">
        <v>1</v>
      </c>
      <c r="F91" s="369"/>
      <c r="G91" s="111">
        <f t="shared" si="4"/>
        <v>0</v>
      </c>
      <c r="H91" s="166">
        <f t="shared" si="5"/>
        <v>0</v>
      </c>
      <c r="I91" s="7"/>
    </row>
    <row r="92" spans="1:9" x14ac:dyDescent="0.2">
      <c r="A92" s="6"/>
      <c r="C92" s="5" t="s">
        <v>298</v>
      </c>
      <c r="D92" s="391" t="str">
        <f t="shared" si="6"/>
        <v>each</v>
      </c>
      <c r="E92" s="368">
        <v>1</v>
      </c>
      <c r="F92" s="369"/>
      <c r="G92" s="111">
        <f t="shared" si="4"/>
        <v>0</v>
      </c>
      <c r="H92" s="166">
        <f t="shared" si="5"/>
        <v>0</v>
      </c>
      <c r="I92" s="7"/>
    </row>
    <row r="93" spans="1:9" ht="13.5" thickBot="1" x14ac:dyDescent="0.25">
      <c r="A93" s="6"/>
      <c r="C93" s="9" t="s">
        <v>111</v>
      </c>
      <c r="D93" s="391" t="str">
        <f t="shared" si="6"/>
        <v>each</v>
      </c>
      <c r="E93" s="370">
        <v>1</v>
      </c>
      <c r="F93" s="371"/>
      <c r="G93" s="112">
        <f t="shared" si="4"/>
        <v>0</v>
      </c>
      <c r="H93" s="167">
        <f t="shared" si="5"/>
        <v>0</v>
      </c>
      <c r="I93" s="7"/>
    </row>
    <row r="94" spans="1:9" ht="13.5" thickBot="1" x14ac:dyDescent="0.25">
      <c r="A94" s="6"/>
      <c r="C94" s="16" t="s">
        <v>78</v>
      </c>
      <c r="D94" s="387"/>
      <c r="E94" s="140"/>
      <c r="F94" s="164"/>
      <c r="G94" s="164">
        <f>SUM(G70:G93)</f>
        <v>0</v>
      </c>
      <c r="H94" s="164">
        <f>SUM(H70:H93)</f>
        <v>0</v>
      </c>
      <c r="I94" s="7"/>
    </row>
    <row r="95" spans="1:9" ht="13.5" thickBot="1" x14ac:dyDescent="0.25">
      <c r="A95" s="26"/>
      <c r="B95" s="27"/>
      <c r="C95" s="27"/>
      <c r="D95" s="27"/>
      <c r="E95" s="27"/>
      <c r="F95" s="27"/>
      <c r="G95" s="146"/>
      <c r="H95" s="146"/>
      <c r="I95" s="8"/>
    </row>
  </sheetData>
  <mergeCells count="1">
    <mergeCell ref="L1:M1"/>
  </mergeCells>
  <phoneticPr fontId="0" type="noConversion"/>
  <pageMargins left="0.75" right="0.75" top="1" bottom="1" header="0.5" footer="0.5"/>
  <pageSetup paperSize="9" scale="5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O108"/>
  <sheetViews>
    <sheetView zoomScaleNormal="100" workbookViewId="0">
      <selection activeCell="C23" sqref="C23"/>
    </sheetView>
  </sheetViews>
  <sheetFormatPr defaultRowHeight="12.75" x14ac:dyDescent="0.2"/>
  <cols>
    <col min="1" max="1" width="1" customWidth="1"/>
    <col min="2" max="2" width="1.7109375" customWidth="1"/>
    <col min="3" max="3" width="34.140625" customWidth="1"/>
    <col min="4" max="4" width="11" customWidth="1"/>
    <col min="5" max="5" width="5.7109375" customWidth="1"/>
    <col min="6" max="6" width="11.85546875" customWidth="1"/>
    <col min="7" max="8" width="11.7109375" customWidth="1"/>
    <col min="9" max="9" width="3.7109375" customWidth="1"/>
    <col min="11" max="11" width="11.28515625" bestFit="1" customWidth="1"/>
    <col min="12" max="12" width="11.85546875" customWidth="1"/>
    <col min="13" max="13" width="12" customWidth="1"/>
    <col min="14" max="14" width="14.140625" customWidth="1"/>
    <col min="15" max="15" width="13.7109375" customWidth="1"/>
  </cols>
  <sheetData>
    <row r="1" spans="1:15" x14ac:dyDescent="0.2">
      <c r="A1" s="21"/>
      <c r="B1" s="22"/>
      <c r="C1" s="22"/>
      <c r="D1" s="22"/>
      <c r="E1" s="22"/>
      <c r="F1" s="22"/>
      <c r="G1" s="141"/>
      <c r="H1" s="141"/>
      <c r="I1" s="23"/>
      <c r="K1" s="502" t="str">
        <f>"COSTING DATA "&amp;Curr_1</f>
        <v>COSTING DATA USD</v>
      </c>
      <c r="L1" s="503"/>
      <c r="M1" s="503"/>
      <c r="N1" s="503"/>
      <c r="O1" s="504"/>
    </row>
    <row r="2" spans="1:15" x14ac:dyDescent="0.2">
      <c r="A2" s="6"/>
      <c r="B2" s="24" t="s">
        <v>99</v>
      </c>
      <c r="C2" s="25"/>
      <c r="D2" s="25"/>
      <c r="E2" s="25"/>
      <c r="F2" s="25"/>
      <c r="G2" s="142"/>
      <c r="H2" s="44" t="s">
        <v>327</v>
      </c>
      <c r="I2" s="178"/>
      <c r="K2" s="66" t="s">
        <v>240</v>
      </c>
      <c r="L2" s="66" t="s">
        <v>241</v>
      </c>
      <c r="M2" s="66" t="s">
        <v>242</v>
      </c>
      <c r="N2" s="66" t="s">
        <v>243</v>
      </c>
      <c r="O2" s="66" t="s">
        <v>244</v>
      </c>
    </row>
    <row r="3" spans="1:15" ht="13.5" thickBot="1" x14ac:dyDescent="0.25">
      <c r="A3" s="6"/>
      <c r="G3" s="45"/>
      <c r="H3" s="45"/>
      <c r="I3" s="7"/>
      <c r="K3" s="351">
        <f>(G5)</f>
        <v>381000</v>
      </c>
      <c r="L3" s="351">
        <f>(G24)</f>
        <v>0</v>
      </c>
      <c r="M3" s="351">
        <f>(G42)</f>
        <v>0</v>
      </c>
      <c r="N3" s="351">
        <f>(G67)</f>
        <v>0</v>
      </c>
      <c r="O3" s="351">
        <f>(G89)</f>
        <v>0</v>
      </c>
    </row>
    <row r="4" spans="1:15" ht="13.5" thickBot="1" x14ac:dyDescent="0.25">
      <c r="A4" s="6"/>
      <c r="C4" s="43" t="s">
        <v>100</v>
      </c>
      <c r="F4" s="119" t="s">
        <v>95</v>
      </c>
      <c r="G4" s="131" t="str">
        <f>Curr_1</f>
        <v>USD</v>
      </c>
      <c r="H4" s="132" t="str">
        <f>E6</f>
        <v>EUR</v>
      </c>
      <c r="I4" s="7"/>
    </row>
    <row r="5" spans="1:15" ht="13.5" thickBot="1" x14ac:dyDescent="0.25">
      <c r="A5" s="6"/>
      <c r="F5" s="122" t="s">
        <v>78</v>
      </c>
      <c r="G5" s="47">
        <f>(G19)</f>
        <v>381000</v>
      </c>
      <c r="H5" s="48">
        <f>(H19)</f>
        <v>204399.14163090126</v>
      </c>
      <c r="I5" s="7"/>
    </row>
    <row r="6" spans="1:15" x14ac:dyDescent="0.2">
      <c r="A6" s="6"/>
      <c r="C6" s="88" t="s">
        <v>42</v>
      </c>
      <c r="D6" s="88"/>
      <c r="E6" s="116" t="str">
        <f>Curr_2</f>
        <v>EUR</v>
      </c>
      <c r="G6" s="45"/>
      <c r="H6" s="45"/>
      <c r="I6" s="7"/>
    </row>
    <row r="7" spans="1:15" x14ac:dyDescent="0.2">
      <c r="A7" s="6"/>
      <c r="C7" s="88" t="s">
        <v>43</v>
      </c>
      <c r="D7" s="88"/>
      <c r="E7" s="117">
        <f>Curr_Conv</f>
        <v>1.8640000000000001</v>
      </c>
      <c r="G7" s="45"/>
      <c r="H7" s="45"/>
      <c r="I7" s="7"/>
    </row>
    <row r="8" spans="1:15" ht="13.5" thickBot="1" x14ac:dyDescent="0.25">
      <c r="A8" s="6"/>
      <c r="C8" s="88"/>
      <c r="D8" s="88"/>
      <c r="E8" s="117"/>
      <c r="G8" s="45"/>
      <c r="H8" s="45"/>
      <c r="I8" s="7"/>
    </row>
    <row r="9" spans="1:15" x14ac:dyDescent="0.2">
      <c r="A9" s="6"/>
      <c r="C9" s="123" t="s">
        <v>1</v>
      </c>
      <c r="D9" s="389" t="s">
        <v>156</v>
      </c>
      <c r="E9" s="124" t="s">
        <v>38</v>
      </c>
      <c r="F9" s="124" t="s">
        <v>39</v>
      </c>
      <c r="G9" s="131" t="s">
        <v>41</v>
      </c>
      <c r="H9" s="132" t="s">
        <v>41</v>
      </c>
      <c r="I9" s="7"/>
    </row>
    <row r="10" spans="1:15" ht="13.5" thickBot="1" x14ac:dyDescent="0.25">
      <c r="A10" s="6"/>
      <c r="C10" s="14"/>
      <c r="D10" s="386"/>
      <c r="E10" s="125"/>
      <c r="F10" s="125" t="s">
        <v>40</v>
      </c>
      <c r="G10" s="133" t="str">
        <f>Curr_1</f>
        <v>USD</v>
      </c>
      <c r="H10" s="134" t="str">
        <f>Curr_2</f>
        <v>EUR</v>
      </c>
      <c r="I10" s="7"/>
    </row>
    <row r="11" spans="1:15" x14ac:dyDescent="0.2">
      <c r="A11" s="6"/>
      <c r="C11" s="148" t="s">
        <v>108</v>
      </c>
      <c r="D11" s="394" t="str">
        <f t="shared" ref="D11:D18" si="0">unit_number</f>
        <v>each</v>
      </c>
      <c r="E11" s="403">
        <v>1</v>
      </c>
      <c r="F11" s="404">
        <v>200000</v>
      </c>
      <c r="G11" s="151">
        <f t="shared" ref="G11:G18" si="1">(F11*E11)</f>
        <v>200000</v>
      </c>
      <c r="H11" s="152">
        <f t="shared" ref="H11:H18" si="2">(G11/$E$7)</f>
        <v>107296.13733905579</v>
      </c>
      <c r="I11" s="7"/>
    </row>
    <row r="12" spans="1:15" x14ac:dyDescent="0.2">
      <c r="A12" s="6"/>
      <c r="C12" s="147" t="s">
        <v>109</v>
      </c>
      <c r="D12" s="395" t="str">
        <f t="shared" si="0"/>
        <v>each</v>
      </c>
      <c r="E12" s="405">
        <v>1</v>
      </c>
      <c r="F12" s="406">
        <v>0</v>
      </c>
      <c r="G12" s="153">
        <f t="shared" si="1"/>
        <v>0</v>
      </c>
      <c r="H12" s="154">
        <f t="shared" si="2"/>
        <v>0</v>
      </c>
      <c r="I12" s="7"/>
    </row>
    <row r="13" spans="1:15" x14ac:dyDescent="0.2">
      <c r="A13" s="6"/>
      <c r="C13" s="147" t="s">
        <v>44</v>
      </c>
      <c r="D13" s="395" t="str">
        <f t="shared" si="0"/>
        <v>each</v>
      </c>
      <c r="E13" s="405">
        <v>1</v>
      </c>
      <c r="F13" s="406">
        <v>30000</v>
      </c>
      <c r="G13" s="153">
        <f t="shared" si="1"/>
        <v>30000</v>
      </c>
      <c r="H13" s="154">
        <f t="shared" si="2"/>
        <v>16094.420600858368</v>
      </c>
      <c r="I13" s="7"/>
    </row>
    <row r="14" spans="1:15" x14ac:dyDescent="0.2">
      <c r="A14" s="6"/>
      <c r="C14" s="147" t="s">
        <v>110</v>
      </c>
      <c r="D14" s="395" t="str">
        <f t="shared" si="0"/>
        <v>each</v>
      </c>
      <c r="E14" s="405">
        <f>ROUNDUP((General!G13*0.0012),0)</f>
        <v>13</v>
      </c>
      <c r="F14" s="406">
        <v>11000</v>
      </c>
      <c r="G14" s="153">
        <f t="shared" si="1"/>
        <v>143000</v>
      </c>
      <c r="H14" s="154">
        <f t="shared" si="2"/>
        <v>76716.738197424886</v>
      </c>
      <c r="I14" s="7"/>
    </row>
    <row r="15" spans="1:15" x14ac:dyDescent="0.2">
      <c r="A15" s="6"/>
      <c r="C15" s="5" t="s">
        <v>120</v>
      </c>
      <c r="D15" s="395" t="str">
        <f t="shared" si="0"/>
        <v>each</v>
      </c>
      <c r="E15" s="405">
        <v>1</v>
      </c>
      <c r="F15" s="407"/>
      <c r="G15" s="155">
        <f t="shared" si="1"/>
        <v>0</v>
      </c>
      <c r="H15" s="156">
        <f t="shared" si="2"/>
        <v>0</v>
      </c>
      <c r="I15" s="7"/>
    </row>
    <row r="16" spans="1:15" x14ac:dyDescent="0.2">
      <c r="A16" s="6"/>
      <c r="C16" s="5" t="s">
        <v>296</v>
      </c>
      <c r="D16" s="395" t="str">
        <f t="shared" si="0"/>
        <v>each</v>
      </c>
      <c r="E16" s="408">
        <v>1</v>
      </c>
      <c r="F16" s="407">
        <v>3000</v>
      </c>
      <c r="G16" s="155">
        <f t="shared" si="1"/>
        <v>3000</v>
      </c>
      <c r="H16" s="154">
        <f t="shared" si="2"/>
        <v>1609.4420600858368</v>
      </c>
      <c r="I16" s="7"/>
    </row>
    <row r="17" spans="1:9" x14ac:dyDescent="0.2">
      <c r="A17" s="6"/>
      <c r="C17" s="9" t="s">
        <v>45</v>
      </c>
      <c r="D17" s="395" t="str">
        <f t="shared" si="0"/>
        <v>each</v>
      </c>
      <c r="E17" s="408">
        <v>1</v>
      </c>
      <c r="F17" s="407"/>
      <c r="G17" s="155">
        <f t="shared" si="1"/>
        <v>0</v>
      </c>
      <c r="H17" s="157">
        <f t="shared" si="2"/>
        <v>0</v>
      </c>
      <c r="I17" s="7"/>
    </row>
    <row r="18" spans="1:9" ht="13.5" thickBot="1" x14ac:dyDescent="0.25">
      <c r="A18" s="6"/>
      <c r="C18" s="150" t="s">
        <v>111</v>
      </c>
      <c r="D18" s="395" t="str">
        <f t="shared" si="0"/>
        <v>each</v>
      </c>
      <c r="E18" s="409">
        <v>1</v>
      </c>
      <c r="F18" s="410">
        <v>5000</v>
      </c>
      <c r="G18" s="159">
        <f t="shared" si="1"/>
        <v>5000</v>
      </c>
      <c r="H18" s="160">
        <f t="shared" si="2"/>
        <v>2682.4034334763946</v>
      </c>
      <c r="I18" s="7"/>
    </row>
    <row r="19" spans="1:9" ht="13.5" thickBot="1" x14ac:dyDescent="0.25">
      <c r="A19" s="6"/>
      <c r="C19" s="16" t="s">
        <v>78</v>
      </c>
      <c r="D19" s="387"/>
      <c r="E19" s="169"/>
      <c r="F19" s="164"/>
      <c r="G19" s="164">
        <f>SUM(G11:G18)</f>
        <v>381000</v>
      </c>
      <c r="H19" s="165">
        <f>SUM(H11:H18)</f>
        <v>204399.14163090126</v>
      </c>
      <c r="I19" s="7"/>
    </row>
    <row r="20" spans="1:9" x14ac:dyDescent="0.2">
      <c r="A20" s="6"/>
      <c r="C20" s="65"/>
      <c r="D20" s="65"/>
      <c r="E20" s="63"/>
      <c r="F20" s="63"/>
      <c r="G20" s="64"/>
      <c r="H20" s="64"/>
      <c r="I20" s="7"/>
    </row>
    <row r="21" spans="1:9" x14ac:dyDescent="0.2">
      <c r="A21" s="6"/>
      <c r="I21" s="7"/>
    </row>
    <row r="22" spans="1:9" ht="13.5" thickBot="1" x14ac:dyDescent="0.25">
      <c r="A22" s="6"/>
      <c r="I22" s="7"/>
    </row>
    <row r="23" spans="1:9" ht="13.5" thickBot="1" x14ac:dyDescent="0.25">
      <c r="A23" s="6"/>
      <c r="C23" s="43" t="s">
        <v>101</v>
      </c>
      <c r="F23" s="119" t="s">
        <v>95</v>
      </c>
      <c r="G23" s="131" t="str">
        <f>Curr_1</f>
        <v>USD</v>
      </c>
      <c r="H23" s="132" t="str">
        <f>Curr_2</f>
        <v>EUR</v>
      </c>
      <c r="I23" s="7"/>
    </row>
    <row r="24" spans="1:9" ht="13.5" thickBot="1" x14ac:dyDescent="0.25">
      <c r="A24" s="6"/>
      <c r="F24" s="122" t="s">
        <v>78</v>
      </c>
      <c r="G24" s="67">
        <f>(G38)</f>
        <v>0</v>
      </c>
      <c r="H24" s="68">
        <f>(H38)</f>
        <v>0</v>
      </c>
      <c r="I24" s="7"/>
    </row>
    <row r="25" spans="1:9" x14ac:dyDescent="0.2">
      <c r="A25" s="6"/>
      <c r="C25" s="88" t="s">
        <v>42</v>
      </c>
      <c r="D25" s="88"/>
      <c r="E25" s="116" t="str">
        <f>Curr_2</f>
        <v>EUR</v>
      </c>
      <c r="G25" s="45"/>
      <c r="H25" s="45"/>
      <c r="I25" s="7"/>
    </row>
    <row r="26" spans="1:9" x14ac:dyDescent="0.2">
      <c r="A26" s="6"/>
      <c r="C26" s="88" t="s">
        <v>43</v>
      </c>
      <c r="D26" s="88"/>
      <c r="E26" s="117">
        <f>Curr_Conv</f>
        <v>1.8640000000000001</v>
      </c>
      <c r="G26" s="45"/>
      <c r="H26" s="45"/>
      <c r="I26" s="7"/>
    </row>
    <row r="27" spans="1:9" x14ac:dyDescent="0.2">
      <c r="A27" s="6"/>
      <c r="C27" s="88"/>
      <c r="D27" s="88"/>
      <c r="E27" s="117"/>
      <c r="G27" s="45"/>
      <c r="H27" s="45"/>
      <c r="I27" s="7"/>
    </row>
    <row r="28" spans="1:9" ht="13.5" thickBot="1" x14ac:dyDescent="0.25">
      <c r="A28" s="6"/>
      <c r="C28" s="88"/>
      <c r="D28" s="88"/>
      <c r="E28" s="117"/>
      <c r="G28" s="45"/>
      <c r="H28" s="45"/>
      <c r="I28" s="7"/>
    </row>
    <row r="29" spans="1:9" x14ac:dyDescent="0.2">
      <c r="A29" s="6"/>
      <c r="C29" s="123" t="s">
        <v>1</v>
      </c>
      <c r="D29" s="389" t="s">
        <v>156</v>
      </c>
      <c r="E29" s="124" t="s">
        <v>38</v>
      </c>
      <c r="F29" s="124" t="s">
        <v>39</v>
      </c>
      <c r="G29" s="131" t="s">
        <v>41</v>
      </c>
      <c r="H29" s="132" t="s">
        <v>41</v>
      </c>
      <c r="I29" s="7"/>
    </row>
    <row r="30" spans="1:9" ht="13.5" thickBot="1" x14ac:dyDescent="0.25">
      <c r="A30" s="6"/>
      <c r="C30" s="14"/>
      <c r="D30" s="386"/>
      <c r="E30" s="125"/>
      <c r="F30" s="125" t="s">
        <v>40</v>
      </c>
      <c r="G30" s="133" t="str">
        <f>Curr_1</f>
        <v>USD</v>
      </c>
      <c r="H30" s="134" t="str">
        <f>Curr_2</f>
        <v>EUR</v>
      </c>
      <c r="I30" s="7"/>
    </row>
    <row r="31" spans="1:9" x14ac:dyDescent="0.2">
      <c r="A31" s="6"/>
      <c r="C31" s="49" t="s">
        <v>112</v>
      </c>
      <c r="D31" s="395" t="str">
        <f t="shared" ref="D31:D37" si="3">unit_number</f>
        <v>each</v>
      </c>
      <c r="E31" s="411">
        <f>ROUNDUP((General!G13*0.0063),0)</f>
        <v>67</v>
      </c>
      <c r="F31" s="401"/>
      <c r="G31" s="161">
        <f t="shared" ref="G31:G37" si="4">(F31*E31)</f>
        <v>0</v>
      </c>
      <c r="H31" s="162">
        <f t="shared" ref="H31:H37" si="5">(G31/$E$26)</f>
        <v>0</v>
      </c>
      <c r="I31" s="7"/>
    </row>
    <row r="32" spans="1:9" x14ac:dyDescent="0.2">
      <c r="A32" s="6"/>
      <c r="C32" s="5" t="s">
        <v>113</v>
      </c>
      <c r="D32" s="395" t="str">
        <f t="shared" si="3"/>
        <v>each</v>
      </c>
      <c r="E32" s="405">
        <v>1</v>
      </c>
      <c r="F32" s="369"/>
      <c r="G32" s="161">
        <f t="shared" si="4"/>
        <v>0</v>
      </c>
      <c r="H32" s="162">
        <f t="shared" si="5"/>
        <v>0</v>
      </c>
      <c r="I32" s="7"/>
    </row>
    <row r="33" spans="1:9" x14ac:dyDescent="0.2">
      <c r="A33" s="6"/>
      <c r="C33" s="5" t="s">
        <v>44</v>
      </c>
      <c r="D33" s="395" t="str">
        <f t="shared" si="3"/>
        <v>each</v>
      </c>
      <c r="E33" s="405">
        <v>1</v>
      </c>
      <c r="F33" s="369"/>
      <c r="G33" s="161">
        <f t="shared" si="4"/>
        <v>0</v>
      </c>
      <c r="H33" s="162">
        <f t="shared" si="5"/>
        <v>0</v>
      </c>
      <c r="I33" s="7"/>
    </row>
    <row r="34" spans="1:9" x14ac:dyDescent="0.2">
      <c r="A34" s="6"/>
      <c r="C34" s="9" t="s">
        <v>328</v>
      </c>
      <c r="D34" s="395" t="str">
        <f t="shared" si="3"/>
        <v>each</v>
      </c>
      <c r="E34" s="405">
        <v>1</v>
      </c>
      <c r="F34" s="369"/>
      <c r="G34" s="161">
        <f t="shared" si="4"/>
        <v>0</v>
      </c>
      <c r="H34" s="162">
        <f t="shared" si="5"/>
        <v>0</v>
      </c>
      <c r="I34" s="7"/>
    </row>
    <row r="35" spans="1:9" x14ac:dyDescent="0.2">
      <c r="A35" s="6"/>
      <c r="C35" s="9" t="s">
        <v>301</v>
      </c>
      <c r="D35" s="395" t="str">
        <f t="shared" si="3"/>
        <v>each</v>
      </c>
      <c r="E35" s="405">
        <v>1</v>
      </c>
      <c r="F35" s="369"/>
      <c r="G35" s="161">
        <f t="shared" si="4"/>
        <v>0</v>
      </c>
      <c r="H35" s="162">
        <f t="shared" si="5"/>
        <v>0</v>
      </c>
      <c r="I35" s="7"/>
    </row>
    <row r="36" spans="1:9" x14ac:dyDescent="0.2">
      <c r="A36" s="6"/>
      <c r="C36" s="9" t="s">
        <v>45</v>
      </c>
      <c r="D36" s="395" t="str">
        <f t="shared" si="3"/>
        <v>each</v>
      </c>
      <c r="E36" s="405">
        <v>1</v>
      </c>
      <c r="F36" s="369"/>
      <c r="G36" s="161">
        <f t="shared" si="4"/>
        <v>0</v>
      </c>
      <c r="H36" s="162">
        <f t="shared" si="5"/>
        <v>0</v>
      </c>
      <c r="I36" s="7"/>
    </row>
    <row r="37" spans="1:9" ht="13.5" thickBot="1" x14ac:dyDescent="0.25">
      <c r="A37" s="6"/>
      <c r="C37" s="5" t="s">
        <v>111</v>
      </c>
      <c r="D37" s="395" t="str">
        <f t="shared" si="3"/>
        <v>each</v>
      </c>
      <c r="E37" s="408">
        <v>1</v>
      </c>
      <c r="F37" s="371"/>
      <c r="G37" s="161">
        <f t="shared" si="4"/>
        <v>0</v>
      </c>
      <c r="H37" s="162">
        <f t="shared" si="5"/>
        <v>0</v>
      </c>
      <c r="I37" s="7"/>
    </row>
    <row r="38" spans="1:9" ht="13.5" thickBot="1" x14ac:dyDescent="0.25">
      <c r="A38" s="6"/>
      <c r="C38" s="16" t="s">
        <v>78</v>
      </c>
      <c r="D38" s="387"/>
      <c r="E38" s="140"/>
      <c r="F38" s="164"/>
      <c r="G38" s="164">
        <f>SUM(G31:G37)</f>
        <v>0</v>
      </c>
      <c r="H38" s="164">
        <f>SUM(H31:H37)</f>
        <v>0</v>
      </c>
      <c r="I38" s="7"/>
    </row>
    <row r="39" spans="1:9" x14ac:dyDescent="0.2">
      <c r="A39" s="6"/>
      <c r="I39" s="7"/>
    </row>
    <row r="40" spans="1:9" ht="13.5" thickBot="1" x14ac:dyDescent="0.25">
      <c r="A40" s="6"/>
      <c r="I40" s="7"/>
    </row>
    <row r="41" spans="1:9" ht="13.5" thickBot="1" x14ac:dyDescent="0.25">
      <c r="A41" s="6"/>
      <c r="C41" s="43" t="s">
        <v>102</v>
      </c>
      <c r="F41" s="119" t="s">
        <v>95</v>
      </c>
      <c r="G41" s="131" t="str">
        <f>Curr_1</f>
        <v>USD</v>
      </c>
      <c r="H41" s="132" t="str">
        <f>Curr_2</f>
        <v>EUR</v>
      </c>
      <c r="I41" s="7"/>
    </row>
    <row r="42" spans="1:9" ht="13.5" thickBot="1" x14ac:dyDescent="0.25">
      <c r="A42" s="6"/>
      <c r="F42" s="122" t="s">
        <v>78</v>
      </c>
      <c r="G42" s="47">
        <f>(G60)</f>
        <v>0</v>
      </c>
      <c r="H42" s="48">
        <f>(H60)</f>
        <v>0</v>
      </c>
      <c r="I42" s="7"/>
    </row>
    <row r="43" spans="1:9" x14ac:dyDescent="0.2">
      <c r="A43" s="6"/>
      <c r="C43" s="88" t="s">
        <v>42</v>
      </c>
      <c r="D43" s="88"/>
      <c r="E43" s="116" t="str">
        <f>Curr_2</f>
        <v>EUR</v>
      </c>
      <c r="G43" s="45"/>
      <c r="H43" s="45"/>
      <c r="I43" s="7"/>
    </row>
    <row r="44" spans="1:9" x14ac:dyDescent="0.2">
      <c r="A44" s="6"/>
      <c r="C44" s="88" t="s">
        <v>43</v>
      </c>
      <c r="D44" s="88"/>
      <c r="E44" s="117">
        <f>Curr_Conv</f>
        <v>1.8640000000000001</v>
      </c>
      <c r="G44" s="45"/>
      <c r="H44" s="45"/>
      <c r="I44" s="7"/>
    </row>
    <row r="45" spans="1:9" x14ac:dyDescent="0.2">
      <c r="A45" s="6"/>
      <c r="C45" s="88"/>
      <c r="D45" s="88"/>
      <c r="E45" s="117"/>
      <c r="G45" s="45"/>
      <c r="H45" s="45"/>
      <c r="I45" s="7"/>
    </row>
    <row r="46" spans="1:9" ht="13.5" thickBot="1" x14ac:dyDescent="0.25">
      <c r="A46" s="6"/>
      <c r="C46" s="88"/>
      <c r="D46" s="88"/>
      <c r="E46" s="117"/>
      <c r="G46" s="45"/>
      <c r="H46" s="45"/>
      <c r="I46" s="7"/>
    </row>
    <row r="47" spans="1:9" x14ac:dyDescent="0.2">
      <c r="A47" s="6"/>
      <c r="C47" s="123" t="s">
        <v>1</v>
      </c>
      <c r="D47" s="389" t="s">
        <v>156</v>
      </c>
      <c r="E47" s="124" t="s">
        <v>38</v>
      </c>
      <c r="F47" s="124" t="s">
        <v>39</v>
      </c>
      <c r="G47" s="131" t="s">
        <v>41</v>
      </c>
      <c r="H47" s="132" t="s">
        <v>41</v>
      </c>
      <c r="I47" s="7"/>
    </row>
    <row r="48" spans="1:9" ht="13.5" thickBot="1" x14ac:dyDescent="0.25">
      <c r="A48" s="6"/>
      <c r="C48" s="14"/>
      <c r="D48" s="386"/>
      <c r="E48" s="125"/>
      <c r="F48" s="125" t="s">
        <v>40</v>
      </c>
      <c r="G48" s="133" t="str">
        <f>Curr_1</f>
        <v>USD</v>
      </c>
      <c r="H48" s="134" t="str">
        <f>Curr_2</f>
        <v>EUR</v>
      </c>
      <c r="I48" s="7"/>
    </row>
    <row r="49" spans="1:9" x14ac:dyDescent="0.2">
      <c r="A49" s="6"/>
      <c r="C49" s="139" t="s">
        <v>114</v>
      </c>
      <c r="D49" s="395" t="str">
        <f t="shared" ref="D49:D59" si="6">unit_number</f>
        <v>each</v>
      </c>
      <c r="E49" s="403">
        <f>ROUNDUP((General!G13*0.0011),0)</f>
        <v>12</v>
      </c>
      <c r="F49" s="412"/>
      <c r="G49" s="173">
        <f>(F49*E49)</f>
        <v>0</v>
      </c>
      <c r="H49" s="174">
        <f>(G49/$E$69)</f>
        <v>0</v>
      </c>
      <c r="I49" s="7"/>
    </row>
    <row r="50" spans="1:9" x14ac:dyDescent="0.2">
      <c r="A50" s="6"/>
      <c r="C50" s="5" t="s">
        <v>115</v>
      </c>
      <c r="D50" s="395" t="str">
        <f t="shared" si="6"/>
        <v>each</v>
      </c>
      <c r="E50" s="405">
        <f>(E49)</f>
        <v>12</v>
      </c>
      <c r="F50" s="369"/>
      <c r="G50" s="111">
        <f t="shared" ref="G50:G59" si="7">(F50*E50)</f>
        <v>0</v>
      </c>
      <c r="H50" s="166">
        <f t="shared" ref="H50:H59" si="8">(G50/$E$69)</f>
        <v>0</v>
      </c>
      <c r="I50" s="7"/>
    </row>
    <row r="51" spans="1:9" x14ac:dyDescent="0.2">
      <c r="A51" s="6"/>
      <c r="C51" s="5" t="s">
        <v>116</v>
      </c>
      <c r="D51" s="395" t="str">
        <f t="shared" si="6"/>
        <v>each</v>
      </c>
      <c r="E51" s="405">
        <f>(General!G11/2)*Heating!E50</f>
        <v>546</v>
      </c>
      <c r="F51" s="369"/>
      <c r="G51" s="111">
        <f t="shared" si="7"/>
        <v>0</v>
      </c>
      <c r="H51" s="166">
        <f t="shared" si="8"/>
        <v>0</v>
      </c>
      <c r="I51" s="7"/>
    </row>
    <row r="52" spans="1:9" x14ac:dyDescent="0.2">
      <c r="A52" s="6"/>
      <c r="C52" s="5" t="s">
        <v>117</v>
      </c>
      <c r="D52" s="395" t="str">
        <f t="shared" si="6"/>
        <v>each</v>
      </c>
      <c r="E52" s="405">
        <v>1</v>
      </c>
      <c r="F52" s="369"/>
      <c r="G52" s="111">
        <f t="shared" si="7"/>
        <v>0</v>
      </c>
      <c r="H52" s="166">
        <f t="shared" si="8"/>
        <v>0</v>
      </c>
      <c r="I52" s="7"/>
    </row>
    <row r="53" spans="1:9" x14ac:dyDescent="0.2">
      <c r="A53" s="6"/>
      <c r="C53" s="5" t="s">
        <v>118</v>
      </c>
      <c r="D53" s="395" t="str">
        <f t="shared" si="6"/>
        <v>each</v>
      </c>
      <c r="E53" s="405">
        <v>1</v>
      </c>
      <c r="F53" s="369"/>
      <c r="G53" s="111">
        <f t="shared" si="7"/>
        <v>0</v>
      </c>
      <c r="H53" s="166">
        <f t="shared" si="8"/>
        <v>0</v>
      </c>
      <c r="I53" s="7"/>
    </row>
    <row r="54" spans="1:9" x14ac:dyDescent="0.2">
      <c r="A54" s="6"/>
      <c r="C54" s="5" t="s">
        <v>119</v>
      </c>
      <c r="D54" s="395" t="str">
        <f t="shared" si="6"/>
        <v>each</v>
      </c>
      <c r="E54" s="405">
        <v>1</v>
      </c>
      <c r="F54" s="369"/>
      <c r="G54" s="111">
        <f t="shared" si="7"/>
        <v>0</v>
      </c>
      <c r="H54" s="166">
        <f t="shared" si="8"/>
        <v>0</v>
      </c>
      <c r="I54" s="7"/>
    </row>
    <row r="55" spans="1:9" x14ac:dyDescent="0.2">
      <c r="A55" s="6"/>
      <c r="C55" s="5" t="s">
        <v>328</v>
      </c>
      <c r="D55" s="395" t="str">
        <f t="shared" si="6"/>
        <v>each</v>
      </c>
      <c r="E55" s="405">
        <v>1</v>
      </c>
      <c r="F55" s="369"/>
      <c r="G55" s="111">
        <f>(F55*E55)</f>
        <v>0</v>
      </c>
      <c r="H55" s="166">
        <f t="shared" si="8"/>
        <v>0</v>
      </c>
      <c r="I55" s="7"/>
    </row>
    <row r="56" spans="1:9" x14ac:dyDescent="0.2">
      <c r="A56" s="6"/>
      <c r="C56" s="5" t="s">
        <v>109</v>
      </c>
      <c r="D56" s="395" t="str">
        <f t="shared" si="6"/>
        <v>each</v>
      </c>
      <c r="E56" s="405">
        <v>1</v>
      </c>
      <c r="F56" s="369"/>
      <c r="G56" s="111">
        <f t="shared" si="7"/>
        <v>0</v>
      </c>
      <c r="H56" s="166">
        <f t="shared" si="8"/>
        <v>0</v>
      </c>
      <c r="I56" s="7"/>
    </row>
    <row r="57" spans="1:9" x14ac:dyDescent="0.2">
      <c r="A57" s="6"/>
      <c r="C57" s="5" t="s">
        <v>44</v>
      </c>
      <c r="D57" s="395" t="str">
        <f t="shared" si="6"/>
        <v>each</v>
      </c>
      <c r="E57" s="405">
        <v>1</v>
      </c>
      <c r="F57" s="369"/>
      <c r="G57" s="111">
        <f t="shared" si="7"/>
        <v>0</v>
      </c>
      <c r="H57" s="166">
        <f t="shared" si="8"/>
        <v>0</v>
      </c>
      <c r="I57" s="7"/>
    </row>
    <row r="58" spans="1:9" x14ac:dyDescent="0.2">
      <c r="A58" s="6"/>
      <c r="C58" s="49" t="s">
        <v>45</v>
      </c>
      <c r="D58" s="395" t="str">
        <f t="shared" si="6"/>
        <v>each</v>
      </c>
      <c r="E58" s="405">
        <v>1</v>
      </c>
      <c r="F58" s="369"/>
      <c r="G58" s="111">
        <f t="shared" si="7"/>
        <v>0</v>
      </c>
      <c r="H58" s="166">
        <f t="shared" si="8"/>
        <v>0</v>
      </c>
      <c r="I58" s="7"/>
    </row>
    <row r="59" spans="1:9" ht="13.5" thickBot="1" x14ac:dyDescent="0.25">
      <c r="A59" s="6"/>
      <c r="C59" s="5" t="s">
        <v>111</v>
      </c>
      <c r="D59" s="395" t="str">
        <f t="shared" si="6"/>
        <v>each</v>
      </c>
      <c r="E59" s="409">
        <v>1</v>
      </c>
      <c r="F59" s="410"/>
      <c r="G59" s="175">
        <f t="shared" si="7"/>
        <v>0</v>
      </c>
      <c r="H59" s="176">
        <f t="shared" si="8"/>
        <v>0</v>
      </c>
      <c r="I59" s="7"/>
    </row>
    <row r="60" spans="1:9" ht="13.5" thickBot="1" x14ac:dyDescent="0.25">
      <c r="A60" s="6"/>
      <c r="C60" s="16" t="s">
        <v>78</v>
      </c>
      <c r="D60" s="387"/>
      <c r="E60" s="177"/>
      <c r="F60" s="164"/>
      <c r="G60" s="164">
        <f>SUM(G49:G59)</f>
        <v>0</v>
      </c>
      <c r="H60" s="164">
        <f>SUM(H49:H59)</f>
        <v>0</v>
      </c>
      <c r="I60" s="7"/>
    </row>
    <row r="61" spans="1:9" ht="13.5" thickBot="1" x14ac:dyDescent="0.25">
      <c r="A61" s="26"/>
      <c r="B61" s="27"/>
      <c r="C61" s="27"/>
      <c r="D61" s="27"/>
      <c r="E61" s="27"/>
      <c r="F61" s="27"/>
      <c r="G61" s="27"/>
      <c r="H61" s="27"/>
      <c r="I61" s="8"/>
    </row>
    <row r="62" spans="1:9" ht="13.5" thickBot="1" x14ac:dyDescent="0.25"/>
    <row r="63" spans="1:9" x14ac:dyDescent="0.2">
      <c r="A63" s="21"/>
      <c r="B63" s="22"/>
      <c r="C63" s="22"/>
      <c r="D63" s="22"/>
      <c r="E63" s="22"/>
      <c r="F63" s="22"/>
      <c r="G63" s="22"/>
      <c r="H63" s="22"/>
      <c r="I63" s="23"/>
    </row>
    <row r="64" spans="1:9" x14ac:dyDescent="0.2">
      <c r="A64" s="6"/>
      <c r="B64" s="24" t="s">
        <v>99</v>
      </c>
      <c r="C64" s="25"/>
      <c r="D64" s="25"/>
      <c r="E64" s="25"/>
      <c r="F64" s="25"/>
      <c r="G64" s="142"/>
      <c r="H64" s="44" t="s">
        <v>329</v>
      </c>
      <c r="I64" s="178"/>
    </row>
    <row r="65" spans="1:9" ht="13.5" thickBot="1" x14ac:dyDescent="0.25">
      <c r="A65" s="6"/>
      <c r="I65" s="7"/>
    </row>
    <row r="66" spans="1:9" ht="13.5" thickBot="1" x14ac:dyDescent="0.25">
      <c r="A66" s="6"/>
      <c r="C66" s="43" t="s">
        <v>103</v>
      </c>
      <c r="F66" s="119" t="s">
        <v>95</v>
      </c>
      <c r="G66" s="131" t="str">
        <f>Curr_1</f>
        <v>USD</v>
      </c>
      <c r="H66" s="132" t="str">
        <f>Curr_2</f>
        <v>EUR</v>
      </c>
      <c r="I66" s="7"/>
    </row>
    <row r="67" spans="1:9" ht="13.5" thickBot="1" x14ac:dyDescent="0.25">
      <c r="A67" s="6"/>
      <c r="F67" s="122" t="s">
        <v>78</v>
      </c>
      <c r="G67" s="47">
        <f>(G84)</f>
        <v>0</v>
      </c>
      <c r="H67" s="48">
        <f>(H84)</f>
        <v>0</v>
      </c>
      <c r="I67" s="7"/>
    </row>
    <row r="68" spans="1:9" x14ac:dyDescent="0.2">
      <c r="A68" s="6"/>
      <c r="C68" s="88" t="s">
        <v>42</v>
      </c>
      <c r="D68" s="88"/>
      <c r="E68" s="116" t="str">
        <f>Curr_2</f>
        <v>EUR</v>
      </c>
      <c r="G68" s="45"/>
      <c r="H68" s="45"/>
      <c r="I68" s="7"/>
    </row>
    <row r="69" spans="1:9" x14ac:dyDescent="0.2">
      <c r="A69" s="6"/>
      <c r="C69" s="88" t="s">
        <v>43</v>
      </c>
      <c r="D69" s="88"/>
      <c r="E69" s="117">
        <f>Curr_Conv</f>
        <v>1.8640000000000001</v>
      </c>
      <c r="G69" s="45"/>
      <c r="H69" s="45"/>
      <c r="I69" s="7"/>
    </row>
    <row r="70" spans="1:9" ht="13.5" thickBot="1" x14ac:dyDescent="0.25">
      <c r="A70" s="6"/>
      <c r="C70" s="88"/>
      <c r="D70" s="88"/>
      <c r="E70" s="117"/>
      <c r="G70" s="45"/>
      <c r="H70" s="45"/>
      <c r="I70" s="7"/>
    </row>
    <row r="71" spans="1:9" x14ac:dyDescent="0.2">
      <c r="A71" s="6"/>
      <c r="C71" s="123" t="s">
        <v>1</v>
      </c>
      <c r="D71" s="389" t="s">
        <v>156</v>
      </c>
      <c r="E71" s="124" t="s">
        <v>38</v>
      </c>
      <c r="F71" s="124" t="s">
        <v>39</v>
      </c>
      <c r="G71" s="131" t="s">
        <v>41</v>
      </c>
      <c r="H71" s="132" t="s">
        <v>41</v>
      </c>
      <c r="I71" s="7"/>
    </row>
    <row r="72" spans="1:9" ht="13.5" thickBot="1" x14ac:dyDescent="0.25">
      <c r="A72" s="6"/>
      <c r="C72" s="135"/>
      <c r="D72" s="390"/>
      <c r="E72" s="136"/>
      <c r="F72" s="136" t="s">
        <v>40</v>
      </c>
      <c r="G72" s="137" t="str">
        <f>Curr_1</f>
        <v>USD</v>
      </c>
      <c r="H72" s="138" t="str">
        <f>Curr_2</f>
        <v>EUR</v>
      </c>
      <c r="I72" s="7"/>
    </row>
    <row r="73" spans="1:9" x14ac:dyDescent="0.2">
      <c r="A73" s="6"/>
      <c r="C73" s="139" t="s">
        <v>114</v>
      </c>
      <c r="D73" s="395" t="str">
        <f t="shared" ref="D73:D83" si="9">unit_number</f>
        <v>each</v>
      </c>
      <c r="E73" s="403">
        <f>ROUNDUP((General!G13*0.0011),0)</f>
        <v>12</v>
      </c>
      <c r="F73" s="412"/>
      <c r="G73" s="173">
        <f>(F73*E73)</f>
        <v>0</v>
      </c>
      <c r="H73" s="174">
        <f>(G73/$E$69)</f>
        <v>0</v>
      </c>
      <c r="I73" s="7"/>
    </row>
    <row r="74" spans="1:9" x14ac:dyDescent="0.2">
      <c r="A74" s="6"/>
      <c r="C74" s="5" t="s">
        <v>115</v>
      </c>
      <c r="D74" s="395" t="str">
        <f t="shared" si="9"/>
        <v>each</v>
      </c>
      <c r="E74" s="405">
        <f>(E73)</f>
        <v>12</v>
      </c>
      <c r="F74" s="369"/>
      <c r="G74" s="111">
        <f t="shared" ref="G74:G83" si="10">(F74*E74)</f>
        <v>0</v>
      </c>
      <c r="H74" s="166">
        <f t="shared" ref="H74:H83" si="11">(G74/$E$69)</f>
        <v>0</v>
      </c>
      <c r="I74" s="7"/>
    </row>
    <row r="75" spans="1:9" x14ac:dyDescent="0.2">
      <c r="A75" s="6"/>
      <c r="C75" s="5" t="s">
        <v>116</v>
      </c>
      <c r="D75" s="395" t="str">
        <f t="shared" si="9"/>
        <v>each</v>
      </c>
      <c r="E75" s="405">
        <f>(General!G11/2)*Heating!E74</f>
        <v>546</v>
      </c>
      <c r="F75" s="369"/>
      <c r="G75" s="111">
        <f t="shared" si="10"/>
        <v>0</v>
      </c>
      <c r="H75" s="166">
        <f t="shared" si="11"/>
        <v>0</v>
      </c>
      <c r="I75" s="7"/>
    </row>
    <row r="76" spans="1:9" x14ac:dyDescent="0.2">
      <c r="A76" s="6"/>
      <c r="C76" s="5" t="s">
        <v>117</v>
      </c>
      <c r="D76" s="395" t="str">
        <f t="shared" si="9"/>
        <v>each</v>
      </c>
      <c r="E76" s="405">
        <v>1</v>
      </c>
      <c r="F76" s="369"/>
      <c r="G76" s="111">
        <f t="shared" si="10"/>
        <v>0</v>
      </c>
      <c r="H76" s="166">
        <f t="shared" si="11"/>
        <v>0</v>
      </c>
      <c r="I76" s="7"/>
    </row>
    <row r="77" spans="1:9" x14ac:dyDescent="0.2">
      <c r="A77" s="6"/>
      <c r="C77" s="5" t="s">
        <v>118</v>
      </c>
      <c r="D77" s="395" t="str">
        <f t="shared" si="9"/>
        <v>each</v>
      </c>
      <c r="E77" s="405">
        <v>1</v>
      </c>
      <c r="F77" s="369"/>
      <c r="G77" s="111">
        <f t="shared" si="10"/>
        <v>0</v>
      </c>
      <c r="H77" s="166">
        <f t="shared" si="11"/>
        <v>0</v>
      </c>
      <c r="I77" s="7"/>
    </row>
    <row r="78" spans="1:9" x14ac:dyDescent="0.2">
      <c r="A78" s="6"/>
      <c r="C78" s="5" t="s">
        <v>119</v>
      </c>
      <c r="D78" s="395" t="str">
        <f t="shared" si="9"/>
        <v>each</v>
      </c>
      <c r="E78" s="405">
        <v>1</v>
      </c>
      <c r="F78" s="369"/>
      <c r="G78" s="111">
        <f t="shared" si="10"/>
        <v>0</v>
      </c>
      <c r="H78" s="166">
        <f t="shared" si="11"/>
        <v>0</v>
      </c>
      <c r="I78" s="7"/>
    </row>
    <row r="79" spans="1:9" x14ac:dyDescent="0.2">
      <c r="A79" s="6"/>
      <c r="C79" s="5" t="s">
        <v>328</v>
      </c>
      <c r="D79" s="395" t="str">
        <f t="shared" si="9"/>
        <v>each</v>
      </c>
      <c r="E79" s="405">
        <v>1</v>
      </c>
      <c r="F79" s="369"/>
      <c r="G79" s="111">
        <f>(F79*E79)</f>
        <v>0</v>
      </c>
      <c r="H79" s="166">
        <f t="shared" si="11"/>
        <v>0</v>
      </c>
      <c r="I79" s="7"/>
    </row>
    <row r="80" spans="1:9" x14ac:dyDescent="0.2">
      <c r="A80" s="6"/>
      <c r="C80" s="5" t="s">
        <v>109</v>
      </c>
      <c r="D80" s="395" t="str">
        <f t="shared" si="9"/>
        <v>each</v>
      </c>
      <c r="E80" s="405">
        <v>1</v>
      </c>
      <c r="F80" s="369"/>
      <c r="G80" s="111">
        <f t="shared" si="10"/>
        <v>0</v>
      </c>
      <c r="H80" s="166">
        <f t="shared" si="11"/>
        <v>0</v>
      </c>
      <c r="I80" s="7"/>
    </row>
    <row r="81" spans="1:9" x14ac:dyDescent="0.2">
      <c r="A81" s="6"/>
      <c r="C81" s="5" t="s">
        <v>45</v>
      </c>
      <c r="D81" s="395" t="str">
        <f t="shared" si="9"/>
        <v>each</v>
      </c>
      <c r="E81" s="405">
        <v>1</v>
      </c>
      <c r="F81" s="369"/>
      <c r="G81" s="111">
        <f t="shared" si="10"/>
        <v>0</v>
      </c>
      <c r="H81" s="166">
        <f t="shared" si="11"/>
        <v>0</v>
      </c>
      <c r="I81" s="7"/>
    </row>
    <row r="82" spans="1:9" x14ac:dyDescent="0.2">
      <c r="A82" s="6"/>
      <c r="C82" s="5" t="s">
        <v>44</v>
      </c>
      <c r="D82" s="395" t="str">
        <f t="shared" si="9"/>
        <v>each</v>
      </c>
      <c r="E82" s="405">
        <v>1</v>
      </c>
      <c r="F82" s="369"/>
      <c r="G82" s="111">
        <f t="shared" si="10"/>
        <v>0</v>
      </c>
      <c r="H82" s="166">
        <f t="shared" si="11"/>
        <v>0</v>
      </c>
      <c r="I82" s="7"/>
    </row>
    <row r="83" spans="1:9" ht="13.5" thickBot="1" x14ac:dyDescent="0.25">
      <c r="A83" s="6"/>
      <c r="C83" s="49" t="s">
        <v>111</v>
      </c>
      <c r="D83" s="395" t="str">
        <f t="shared" si="9"/>
        <v>each</v>
      </c>
      <c r="E83" s="409">
        <v>1</v>
      </c>
      <c r="F83" s="410"/>
      <c r="G83" s="175">
        <f t="shared" si="10"/>
        <v>0</v>
      </c>
      <c r="H83" s="176">
        <f t="shared" si="11"/>
        <v>0</v>
      </c>
      <c r="I83" s="7"/>
    </row>
    <row r="84" spans="1:9" ht="13.5" thickBot="1" x14ac:dyDescent="0.25">
      <c r="A84" s="6"/>
      <c r="C84" s="16" t="s">
        <v>78</v>
      </c>
      <c r="D84" s="387"/>
      <c r="E84" s="177"/>
      <c r="F84" s="164"/>
      <c r="G84" s="164">
        <f>SUM(G73:G83)</f>
        <v>0</v>
      </c>
      <c r="H84" s="165">
        <f>SUM(H73:H83)</f>
        <v>0</v>
      </c>
      <c r="I84" s="7"/>
    </row>
    <row r="85" spans="1:9" x14ac:dyDescent="0.2">
      <c r="A85" s="6"/>
      <c r="I85" s="7"/>
    </row>
    <row r="86" spans="1:9" x14ac:dyDescent="0.2">
      <c r="A86" s="6"/>
      <c r="I86" s="7"/>
    </row>
    <row r="87" spans="1:9" ht="13.5" thickBot="1" x14ac:dyDescent="0.25">
      <c r="A87" s="6"/>
      <c r="I87" s="7"/>
    </row>
    <row r="88" spans="1:9" ht="13.5" thickBot="1" x14ac:dyDescent="0.25">
      <c r="A88" s="6"/>
      <c r="C88" s="43" t="s">
        <v>104</v>
      </c>
      <c r="F88" s="119" t="s">
        <v>95</v>
      </c>
      <c r="G88" s="131" t="str">
        <f>Curr_1</f>
        <v>USD</v>
      </c>
      <c r="H88" s="132" t="str">
        <f>Curr_2</f>
        <v>EUR</v>
      </c>
      <c r="I88" s="7"/>
    </row>
    <row r="89" spans="1:9" ht="13.5" thickBot="1" x14ac:dyDescent="0.25">
      <c r="A89" s="6"/>
      <c r="F89" s="122" t="s">
        <v>78</v>
      </c>
      <c r="G89" s="47">
        <f>(G107)</f>
        <v>0</v>
      </c>
      <c r="H89" s="48">
        <f>(H107)</f>
        <v>0</v>
      </c>
      <c r="I89" s="7"/>
    </row>
    <row r="90" spans="1:9" x14ac:dyDescent="0.2">
      <c r="A90" s="6"/>
      <c r="C90" s="88" t="s">
        <v>42</v>
      </c>
      <c r="D90" s="88"/>
      <c r="E90" s="116" t="str">
        <f>Curr_2</f>
        <v>EUR</v>
      </c>
      <c r="G90" s="45"/>
      <c r="H90" s="45"/>
      <c r="I90" s="7"/>
    </row>
    <row r="91" spans="1:9" x14ac:dyDescent="0.2">
      <c r="A91" s="6"/>
      <c r="C91" s="88" t="s">
        <v>43</v>
      </c>
      <c r="D91" s="88"/>
      <c r="E91" s="117">
        <f>Curr_Conv</f>
        <v>1.8640000000000001</v>
      </c>
      <c r="G91" s="45"/>
      <c r="H91" s="45"/>
      <c r="I91" s="7"/>
    </row>
    <row r="92" spans="1:9" ht="13.5" thickBot="1" x14ac:dyDescent="0.25">
      <c r="A92" s="6"/>
      <c r="C92" s="88"/>
      <c r="D92" s="88"/>
      <c r="E92" s="117"/>
      <c r="G92" s="45"/>
      <c r="H92" s="45"/>
      <c r="I92" s="7"/>
    </row>
    <row r="93" spans="1:9" x14ac:dyDescent="0.2">
      <c r="A93" s="6"/>
      <c r="C93" s="123" t="s">
        <v>1</v>
      </c>
      <c r="D93" s="389" t="s">
        <v>156</v>
      </c>
      <c r="E93" s="124" t="s">
        <v>38</v>
      </c>
      <c r="F93" s="124" t="s">
        <v>39</v>
      </c>
      <c r="G93" s="131" t="s">
        <v>41</v>
      </c>
      <c r="H93" s="132" t="s">
        <v>41</v>
      </c>
      <c r="I93" s="7"/>
    </row>
    <row r="94" spans="1:9" ht="13.5" thickBot="1" x14ac:dyDescent="0.25">
      <c r="A94" s="6"/>
      <c r="C94" s="14"/>
      <c r="D94" s="386"/>
      <c r="E94" s="125"/>
      <c r="F94" s="125" t="s">
        <v>40</v>
      </c>
      <c r="G94" s="133" t="str">
        <f>Curr_1</f>
        <v>USD</v>
      </c>
      <c r="H94" s="134" t="str">
        <f>Curr_2</f>
        <v>EUR</v>
      </c>
      <c r="I94" s="7"/>
    </row>
    <row r="95" spans="1:9" x14ac:dyDescent="0.2">
      <c r="A95" s="6"/>
      <c r="C95" s="139" t="s">
        <v>114</v>
      </c>
      <c r="D95" s="395" t="str">
        <f t="shared" ref="D95:D106" si="12">unit_number</f>
        <v>each</v>
      </c>
      <c r="E95" s="403">
        <f>ROUNDUP((General!G13*0.0011),0)</f>
        <v>12</v>
      </c>
      <c r="F95" s="412"/>
      <c r="G95" s="173">
        <f>(F95*E95)</f>
        <v>0</v>
      </c>
      <c r="H95" s="174">
        <f>(G95/$E$91)</f>
        <v>0</v>
      </c>
      <c r="I95" s="7"/>
    </row>
    <row r="96" spans="1:9" x14ac:dyDescent="0.2">
      <c r="A96" s="6"/>
      <c r="C96" s="5" t="s">
        <v>115</v>
      </c>
      <c r="D96" s="395" t="str">
        <f t="shared" si="12"/>
        <v>each</v>
      </c>
      <c r="E96" s="405">
        <f>(E95)</f>
        <v>12</v>
      </c>
      <c r="F96" s="369"/>
      <c r="G96" s="111">
        <f t="shared" ref="G96:G106" si="13">(F96*E96)</f>
        <v>0</v>
      </c>
      <c r="H96" s="166">
        <f t="shared" ref="H96:H106" si="14">(G96/$E$91)</f>
        <v>0</v>
      </c>
      <c r="I96" s="7"/>
    </row>
    <row r="97" spans="1:9" x14ac:dyDescent="0.2">
      <c r="A97" s="6"/>
      <c r="C97" s="5" t="s">
        <v>116</v>
      </c>
      <c r="D97" s="395" t="str">
        <f t="shared" si="12"/>
        <v>each</v>
      </c>
      <c r="E97" s="405">
        <f>(General!G11/2)*Heating!E96</f>
        <v>546</v>
      </c>
      <c r="F97" s="369"/>
      <c r="G97" s="111">
        <f t="shared" si="13"/>
        <v>0</v>
      </c>
      <c r="H97" s="166">
        <f t="shared" si="14"/>
        <v>0</v>
      </c>
      <c r="I97" s="7"/>
    </row>
    <row r="98" spans="1:9" x14ac:dyDescent="0.2">
      <c r="A98" s="6"/>
      <c r="C98" s="5" t="s">
        <v>117</v>
      </c>
      <c r="D98" s="395" t="str">
        <f t="shared" si="12"/>
        <v>each</v>
      </c>
      <c r="E98" s="405">
        <v>1</v>
      </c>
      <c r="F98" s="369"/>
      <c r="G98" s="111">
        <f t="shared" si="13"/>
        <v>0</v>
      </c>
      <c r="H98" s="166">
        <f t="shared" si="14"/>
        <v>0</v>
      </c>
      <c r="I98" s="7"/>
    </row>
    <row r="99" spans="1:9" x14ac:dyDescent="0.2">
      <c r="A99" s="6"/>
      <c r="C99" s="5" t="s">
        <v>118</v>
      </c>
      <c r="D99" s="395" t="str">
        <f t="shared" si="12"/>
        <v>each</v>
      </c>
      <c r="E99" s="405">
        <v>1</v>
      </c>
      <c r="F99" s="369"/>
      <c r="G99" s="111">
        <f t="shared" si="13"/>
        <v>0</v>
      </c>
      <c r="H99" s="166">
        <f t="shared" si="14"/>
        <v>0</v>
      </c>
      <c r="I99" s="7"/>
    </row>
    <row r="100" spans="1:9" x14ac:dyDescent="0.2">
      <c r="A100" s="6"/>
      <c r="C100" s="5" t="s">
        <v>119</v>
      </c>
      <c r="D100" s="395" t="str">
        <f t="shared" si="12"/>
        <v>each</v>
      </c>
      <c r="E100" s="405">
        <v>1</v>
      </c>
      <c r="F100" s="369"/>
      <c r="G100" s="111">
        <f t="shared" si="13"/>
        <v>0</v>
      </c>
      <c r="H100" s="166">
        <f t="shared" si="14"/>
        <v>0</v>
      </c>
      <c r="I100" s="7"/>
    </row>
    <row r="101" spans="1:9" x14ac:dyDescent="0.2">
      <c r="A101" s="6"/>
      <c r="C101" s="5" t="s">
        <v>330</v>
      </c>
      <c r="D101" s="395" t="str">
        <f t="shared" si="12"/>
        <v>each</v>
      </c>
      <c r="E101" s="405">
        <v>1</v>
      </c>
      <c r="F101" s="369"/>
      <c r="G101" s="111">
        <f>(F101*E101)</f>
        <v>0</v>
      </c>
      <c r="H101" s="166">
        <f t="shared" si="14"/>
        <v>0</v>
      </c>
      <c r="I101" s="7"/>
    </row>
    <row r="102" spans="1:9" x14ac:dyDescent="0.2">
      <c r="A102" s="6"/>
      <c r="C102" s="5" t="s">
        <v>328</v>
      </c>
      <c r="D102" s="395" t="str">
        <f t="shared" si="12"/>
        <v>each</v>
      </c>
      <c r="E102" s="405">
        <v>1</v>
      </c>
      <c r="F102" s="369"/>
      <c r="G102" s="111">
        <f>(F102*E102)</f>
        <v>0</v>
      </c>
      <c r="H102" s="166">
        <f t="shared" si="14"/>
        <v>0</v>
      </c>
      <c r="I102" s="7"/>
    </row>
    <row r="103" spans="1:9" x14ac:dyDescent="0.2">
      <c r="A103" s="6"/>
      <c r="C103" s="5" t="s">
        <v>109</v>
      </c>
      <c r="D103" s="395" t="str">
        <f t="shared" si="12"/>
        <v>each</v>
      </c>
      <c r="E103" s="405">
        <v>1</v>
      </c>
      <c r="F103" s="369"/>
      <c r="G103" s="111">
        <f t="shared" si="13"/>
        <v>0</v>
      </c>
      <c r="H103" s="166">
        <f t="shared" si="14"/>
        <v>0</v>
      </c>
      <c r="I103" s="7"/>
    </row>
    <row r="104" spans="1:9" x14ac:dyDescent="0.2">
      <c r="A104" s="6"/>
      <c r="C104" s="5" t="s">
        <v>45</v>
      </c>
      <c r="D104" s="395" t="str">
        <f t="shared" si="12"/>
        <v>each</v>
      </c>
      <c r="E104" s="405">
        <v>1</v>
      </c>
      <c r="F104" s="369"/>
      <c r="G104" s="111">
        <f t="shared" si="13"/>
        <v>0</v>
      </c>
      <c r="H104" s="166">
        <f t="shared" si="14"/>
        <v>0</v>
      </c>
      <c r="I104" s="7"/>
    </row>
    <row r="105" spans="1:9" x14ac:dyDescent="0.2">
      <c r="A105" s="6"/>
      <c r="C105" s="5" t="s">
        <v>44</v>
      </c>
      <c r="D105" s="395" t="str">
        <f t="shared" si="12"/>
        <v>each</v>
      </c>
      <c r="E105" s="405">
        <v>1</v>
      </c>
      <c r="F105" s="369"/>
      <c r="G105" s="111">
        <f t="shared" si="13"/>
        <v>0</v>
      </c>
      <c r="H105" s="166">
        <f t="shared" si="14"/>
        <v>0</v>
      </c>
      <c r="I105" s="7"/>
    </row>
    <row r="106" spans="1:9" ht="13.5" thickBot="1" x14ac:dyDescent="0.25">
      <c r="A106" s="6"/>
      <c r="C106" s="49" t="s">
        <v>111</v>
      </c>
      <c r="D106" s="395" t="str">
        <f t="shared" si="12"/>
        <v>each</v>
      </c>
      <c r="E106" s="409">
        <v>1</v>
      </c>
      <c r="F106" s="410"/>
      <c r="G106" s="175">
        <f t="shared" si="13"/>
        <v>0</v>
      </c>
      <c r="H106" s="176">
        <f t="shared" si="14"/>
        <v>0</v>
      </c>
      <c r="I106" s="7"/>
    </row>
    <row r="107" spans="1:9" ht="13.5" thickBot="1" x14ac:dyDescent="0.25">
      <c r="A107" s="6"/>
      <c r="C107" s="16" t="s">
        <v>78</v>
      </c>
      <c r="D107" s="387"/>
      <c r="E107" s="177"/>
      <c r="F107" s="164"/>
      <c r="G107" s="164">
        <f>SUM(G95:G106)</f>
        <v>0</v>
      </c>
      <c r="H107" s="165">
        <f>SUM(H95:H106)</f>
        <v>0</v>
      </c>
      <c r="I107" s="7"/>
    </row>
    <row r="108" spans="1:9" ht="13.5" thickBot="1" x14ac:dyDescent="0.25">
      <c r="A108" s="26"/>
      <c r="B108" s="27"/>
      <c r="C108" s="27"/>
      <c r="D108" s="27"/>
      <c r="E108" s="27"/>
      <c r="F108" s="27"/>
      <c r="G108" s="27"/>
      <c r="H108" s="27"/>
      <c r="I108" s="8"/>
    </row>
  </sheetData>
  <mergeCells count="1">
    <mergeCell ref="K1:O1"/>
  </mergeCells>
  <phoneticPr fontId="0" type="noConversion"/>
  <pageMargins left="0.75" right="0.75" top="1" bottom="1" header="0.5" footer="0.5"/>
  <pageSetup paperSize="9" scale="5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46"/>
  <sheetViews>
    <sheetView zoomScaleNormal="100" workbookViewId="0">
      <selection activeCell="F8" sqref="F8"/>
    </sheetView>
  </sheetViews>
  <sheetFormatPr defaultRowHeight="12.75" x14ac:dyDescent="0.2"/>
  <cols>
    <col min="1" max="1" width="1" customWidth="1"/>
    <col min="2" max="2" width="1.7109375" customWidth="1"/>
    <col min="3" max="3" width="34.140625" customWidth="1"/>
    <col min="4" max="4" width="11.85546875" customWidth="1"/>
    <col min="5" max="5" width="5.7109375" customWidth="1"/>
    <col min="6" max="7" width="11.7109375" customWidth="1"/>
    <col min="9" max="9" width="3.7109375" customWidth="1"/>
    <col min="11" max="11" width="11.7109375" customWidth="1"/>
    <col min="12" max="12" width="11.140625" customWidth="1"/>
  </cols>
  <sheetData>
    <row r="1" spans="1:12" x14ac:dyDescent="0.2">
      <c r="A1" s="21"/>
      <c r="B1" s="22"/>
      <c r="C1" s="22"/>
      <c r="D1" s="22"/>
      <c r="E1" s="22"/>
      <c r="F1" s="22"/>
      <c r="G1" s="141"/>
      <c r="H1" s="141"/>
      <c r="I1" s="23"/>
      <c r="K1" s="502" t="str">
        <f>"COSTING DATA "&amp;Curr_1</f>
        <v>COSTING DATA USD</v>
      </c>
      <c r="L1" s="503"/>
    </row>
    <row r="2" spans="1:12" x14ac:dyDescent="0.2">
      <c r="A2" s="6"/>
      <c r="B2" s="24" t="s">
        <v>105</v>
      </c>
      <c r="C2" s="25"/>
      <c r="D2" s="25"/>
      <c r="E2" s="25"/>
      <c r="F2" s="25"/>
      <c r="G2" s="142"/>
      <c r="H2" s="44" t="s">
        <v>331</v>
      </c>
      <c r="I2" s="178"/>
      <c r="K2" s="66" t="s">
        <v>245</v>
      </c>
      <c r="L2" s="66" t="s">
        <v>241</v>
      </c>
    </row>
    <row r="3" spans="1:12" ht="13.5" thickBot="1" x14ac:dyDescent="0.25">
      <c r="A3" s="6"/>
      <c r="G3" s="45"/>
      <c r="H3" s="45"/>
      <c r="I3" s="7"/>
      <c r="K3" s="351">
        <f>(G5)</f>
        <v>0</v>
      </c>
      <c r="L3" s="351">
        <f>(G29)</f>
        <v>0</v>
      </c>
    </row>
    <row r="4" spans="1:12" ht="13.5" thickBot="1" x14ac:dyDescent="0.25">
      <c r="A4" s="6"/>
      <c r="C4" s="43" t="s">
        <v>106</v>
      </c>
      <c r="D4" s="88"/>
      <c r="F4" s="119" t="s">
        <v>95</v>
      </c>
      <c r="G4" s="131" t="str">
        <f>Curr_1</f>
        <v>USD</v>
      </c>
      <c r="H4" s="132" t="str">
        <f>Curr_2</f>
        <v>EUR</v>
      </c>
      <c r="I4" s="7"/>
    </row>
    <row r="5" spans="1:12" ht="13.5" thickBot="1" x14ac:dyDescent="0.25">
      <c r="A5" s="6"/>
      <c r="F5" s="122" t="s">
        <v>78</v>
      </c>
      <c r="G5" s="47">
        <f>(G24)</f>
        <v>0</v>
      </c>
      <c r="H5" s="48">
        <f>(H24)</f>
        <v>0</v>
      </c>
      <c r="I5" s="7"/>
    </row>
    <row r="6" spans="1:12" x14ac:dyDescent="0.2">
      <c r="A6" s="6"/>
      <c r="C6" s="88" t="s">
        <v>42</v>
      </c>
      <c r="D6" s="88"/>
      <c r="E6" s="116" t="str">
        <f>Curr_2</f>
        <v>EUR</v>
      </c>
      <c r="G6" s="45"/>
      <c r="H6" s="45"/>
      <c r="I6" s="7"/>
    </row>
    <row r="7" spans="1:12" x14ac:dyDescent="0.2">
      <c r="A7" s="6"/>
      <c r="C7" s="88" t="s">
        <v>43</v>
      </c>
      <c r="D7" s="88"/>
      <c r="E7" s="117">
        <f>Curr_Conv</f>
        <v>1.8640000000000001</v>
      </c>
      <c r="G7" s="45"/>
      <c r="H7" s="45"/>
      <c r="I7" s="7"/>
    </row>
    <row r="8" spans="1:12" x14ac:dyDescent="0.2">
      <c r="A8" s="6"/>
      <c r="C8" s="88"/>
      <c r="D8" s="88"/>
      <c r="E8" s="117"/>
      <c r="G8" s="45"/>
      <c r="H8" s="45"/>
      <c r="I8" s="7"/>
    </row>
    <row r="9" spans="1:12" ht="13.5" thickBot="1" x14ac:dyDescent="0.25">
      <c r="A9" s="6"/>
      <c r="C9" s="88"/>
      <c r="D9" s="88"/>
      <c r="E9" s="117"/>
      <c r="G9" s="45"/>
      <c r="H9" s="45"/>
      <c r="I9" s="7"/>
    </row>
    <row r="10" spans="1:12" x14ac:dyDescent="0.2">
      <c r="A10" s="6"/>
      <c r="C10" s="123" t="s">
        <v>1</v>
      </c>
      <c r="D10" s="389" t="s">
        <v>156</v>
      </c>
      <c r="E10" s="124" t="s">
        <v>38</v>
      </c>
      <c r="F10" s="124" t="s">
        <v>39</v>
      </c>
      <c r="G10" s="131" t="s">
        <v>41</v>
      </c>
      <c r="H10" s="132" t="s">
        <v>41</v>
      </c>
      <c r="I10" s="7"/>
    </row>
    <row r="11" spans="1:12" ht="13.5" thickBot="1" x14ac:dyDescent="0.25">
      <c r="A11" s="6"/>
      <c r="C11" s="135"/>
      <c r="D11" s="390"/>
      <c r="E11" s="136"/>
      <c r="F11" s="136" t="s">
        <v>40</v>
      </c>
      <c r="G11" s="137" t="str">
        <f>Curr_1</f>
        <v>USD</v>
      </c>
      <c r="H11" s="138" t="str">
        <f>Curr_2</f>
        <v>EUR</v>
      </c>
      <c r="I11" s="7"/>
    </row>
    <row r="12" spans="1:12" x14ac:dyDescent="0.2">
      <c r="A12" s="6"/>
      <c r="C12" s="139" t="s">
        <v>121</v>
      </c>
      <c r="D12" s="396" t="str">
        <f t="shared" ref="D12:D23" si="0">unit_number</f>
        <v>each</v>
      </c>
      <c r="E12" s="403">
        <v>1</v>
      </c>
      <c r="F12" s="412"/>
      <c r="G12" s="173">
        <f>(F12*E12)</f>
        <v>0</v>
      </c>
      <c r="H12" s="174">
        <f>(G12/$E$7)</f>
        <v>0</v>
      </c>
      <c r="I12" s="7"/>
    </row>
    <row r="13" spans="1:12" x14ac:dyDescent="0.2">
      <c r="A13" s="6"/>
      <c r="C13" s="5" t="s">
        <v>122</v>
      </c>
      <c r="D13" s="391" t="str">
        <f t="shared" si="0"/>
        <v>each</v>
      </c>
      <c r="E13" s="405">
        <v>1</v>
      </c>
      <c r="F13" s="369"/>
      <c r="G13" s="111">
        <f t="shared" ref="G13:G23" si="1">(F13*E13)</f>
        <v>0</v>
      </c>
      <c r="H13" s="166">
        <f t="shared" ref="H13:H23" si="2">(G13/$E$7)</f>
        <v>0</v>
      </c>
      <c r="I13" s="7"/>
    </row>
    <row r="14" spans="1:12" x14ac:dyDescent="0.2">
      <c r="A14" s="6"/>
      <c r="C14" s="5" t="s">
        <v>123</v>
      </c>
      <c r="D14" s="391" t="str">
        <f t="shared" si="0"/>
        <v>each</v>
      </c>
      <c r="E14" s="405">
        <v>1</v>
      </c>
      <c r="F14" s="369"/>
      <c r="G14" s="111">
        <f t="shared" si="1"/>
        <v>0</v>
      </c>
      <c r="H14" s="166">
        <f t="shared" si="2"/>
        <v>0</v>
      </c>
      <c r="I14" s="7"/>
    </row>
    <row r="15" spans="1:12" x14ac:dyDescent="0.2">
      <c r="A15" s="6"/>
      <c r="C15" s="5" t="s">
        <v>124</v>
      </c>
      <c r="D15" s="391" t="str">
        <f t="shared" si="0"/>
        <v>each</v>
      </c>
      <c r="E15" s="405">
        <v>1</v>
      </c>
      <c r="F15" s="369"/>
      <c r="G15" s="111">
        <f t="shared" si="1"/>
        <v>0</v>
      </c>
      <c r="H15" s="166">
        <f t="shared" si="2"/>
        <v>0</v>
      </c>
      <c r="I15" s="7"/>
    </row>
    <row r="16" spans="1:12" x14ac:dyDescent="0.2">
      <c r="A16" s="6"/>
      <c r="C16" s="5" t="s">
        <v>125</v>
      </c>
      <c r="D16" s="391" t="str">
        <f t="shared" si="0"/>
        <v>each</v>
      </c>
      <c r="E16" s="405">
        <v>1</v>
      </c>
      <c r="F16" s="369"/>
      <c r="G16" s="111">
        <f t="shared" si="1"/>
        <v>0</v>
      </c>
      <c r="H16" s="166">
        <f t="shared" si="2"/>
        <v>0</v>
      </c>
      <c r="I16" s="7"/>
    </row>
    <row r="17" spans="1:9" x14ac:dyDescent="0.2">
      <c r="A17" s="6"/>
      <c r="C17" s="5" t="s">
        <v>126</v>
      </c>
      <c r="D17" s="391" t="str">
        <f t="shared" si="0"/>
        <v>each</v>
      </c>
      <c r="E17" s="405">
        <v>1</v>
      </c>
      <c r="F17" s="369"/>
      <c r="G17" s="111">
        <f t="shared" si="1"/>
        <v>0</v>
      </c>
      <c r="H17" s="166">
        <f t="shared" si="2"/>
        <v>0</v>
      </c>
      <c r="I17" s="7"/>
    </row>
    <row r="18" spans="1:9" x14ac:dyDescent="0.2">
      <c r="A18" s="6"/>
      <c r="C18" s="5" t="s">
        <v>128</v>
      </c>
      <c r="D18" s="391" t="str">
        <f t="shared" si="0"/>
        <v>each</v>
      </c>
      <c r="E18" s="405">
        <v>1</v>
      </c>
      <c r="F18" s="369"/>
      <c r="G18" s="111">
        <f t="shared" si="1"/>
        <v>0</v>
      </c>
      <c r="H18" s="166">
        <f t="shared" si="2"/>
        <v>0</v>
      </c>
      <c r="I18" s="7"/>
    </row>
    <row r="19" spans="1:9" x14ac:dyDescent="0.2">
      <c r="A19" s="6"/>
      <c r="C19" s="5" t="s">
        <v>127</v>
      </c>
      <c r="D19" s="391" t="str">
        <f t="shared" si="0"/>
        <v>each</v>
      </c>
      <c r="E19" s="405">
        <v>1</v>
      </c>
      <c r="F19" s="369"/>
      <c r="G19" s="111">
        <f t="shared" si="1"/>
        <v>0</v>
      </c>
      <c r="H19" s="166">
        <f t="shared" si="2"/>
        <v>0</v>
      </c>
      <c r="I19" s="7"/>
    </row>
    <row r="20" spans="1:9" x14ac:dyDescent="0.2">
      <c r="A20" s="6"/>
      <c r="C20" s="5" t="s">
        <v>113</v>
      </c>
      <c r="D20" s="391" t="str">
        <f t="shared" si="0"/>
        <v>each</v>
      </c>
      <c r="E20" s="405">
        <v>1</v>
      </c>
      <c r="F20" s="369"/>
      <c r="G20" s="111">
        <f t="shared" si="1"/>
        <v>0</v>
      </c>
      <c r="H20" s="166">
        <f t="shared" si="2"/>
        <v>0</v>
      </c>
      <c r="I20" s="7"/>
    </row>
    <row r="21" spans="1:9" x14ac:dyDescent="0.2">
      <c r="A21" s="6"/>
      <c r="C21" s="5" t="s">
        <v>44</v>
      </c>
      <c r="D21" s="391" t="str">
        <f t="shared" si="0"/>
        <v>each</v>
      </c>
      <c r="E21" s="405">
        <v>1</v>
      </c>
      <c r="F21" s="369"/>
      <c r="G21" s="111">
        <f t="shared" si="1"/>
        <v>0</v>
      </c>
      <c r="H21" s="166">
        <f t="shared" si="2"/>
        <v>0</v>
      </c>
      <c r="I21" s="7"/>
    </row>
    <row r="22" spans="1:9" x14ac:dyDescent="0.2">
      <c r="A22" s="6"/>
      <c r="C22" s="5" t="s">
        <v>45</v>
      </c>
      <c r="D22" s="391" t="str">
        <f t="shared" si="0"/>
        <v>each</v>
      </c>
      <c r="E22" s="405">
        <v>1</v>
      </c>
      <c r="F22" s="369"/>
      <c r="G22" s="111">
        <f t="shared" si="1"/>
        <v>0</v>
      </c>
      <c r="H22" s="166">
        <f t="shared" si="2"/>
        <v>0</v>
      </c>
      <c r="I22" s="7"/>
    </row>
    <row r="23" spans="1:9" ht="13.5" thickBot="1" x14ac:dyDescent="0.25">
      <c r="A23" s="6"/>
      <c r="C23" s="149" t="s">
        <v>111</v>
      </c>
      <c r="D23" s="391" t="str">
        <f t="shared" si="0"/>
        <v>each</v>
      </c>
      <c r="E23" s="409">
        <v>1</v>
      </c>
      <c r="F23" s="410"/>
      <c r="G23" s="175">
        <f t="shared" si="1"/>
        <v>0</v>
      </c>
      <c r="H23" s="176">
        <f t="shared" si="2"/>
        <v>0</v>
      </c>
      <c r="I23" s="7"/>
    </row>
    <row r="24" spans="1:9" ht="13.5" thickBot="1" x14ac:dyDescent="0.25">
      <c r="A24" s="6"/>
      <c r="C24" s="16" t="s">
        <v>78</v>
      </c>
      <c r="D24" s="387"/>
      <c r="E24" s="177"/>
      <c r="F24" s="164"/>
      <c r="G24" s="164">
        <f>SUM(G12:G23)</f>
        <v>0</v>
      </c>
      <c r="H24" s="164">
        <f>SUM(H12:H23)</f>
        <v>0</v>
      </c>
      <c r="I24" s="7"/>
    </row>
    <row r="25" spans="1:9" x14ac:dyDescent="0.2">
      <c r="A25" s="6"/>
      <c r="I25" s="7"/>
    </row>
    <row r="26" spans="1:9" x14ac:dyDescent="0.2">
      <c r="A26" s="6"/>
      <c r="I26" s="7"/>
    </row>
    <row r="27" spans="1:9" ht="13.5" thickBot="1" x14ac:dyDescent="0.25">
      <c r="A27" s="6"/>
      <c r="I27" s="7"/>
    </row>
    <row r="28" spans="1:9" ht="13.5" thickBot="1" x14ac:dyDescent="0.25">
      <c r="A28" s="6"/>
      <c r="C28" s="43" t="s">
        <v>107</v>
      </c>
      <c r="D28" s="88"/>
      <c r="F28" s="119" t="s">
        <v>95</v>
      </c>
      <c r="G28" s="131" t="str">
        <f>Curr_1</f>
        <v>USD</v>
      </c>
      <c r="H28" s="132" t="str">
        <f>Curr_2</f>
        <v>EUR</v>
      </c>
      <c r="I28" s="7"/>
    </row>
    <row r="29" spans="1:9" ht="13.5" thickBot="1" x14ac:dyDescent="0.25">
      <c r="A29" s="6"/>
      <c r="F29" s="122" t="s">
        <v>78</v>
      </c>
      <c r="G29" s="47">
        <f>(G45)</f>
        <v>0</v>
      </c>
      <c r="H29" s="48">
        <f>(H45)</f>
        <v>0</v>
      </c>
      <c r="I29" s="7"/>
    </row>
    <row r="30" spans="1:9" x14ac:dyDescent="0.2">
      <c r="A30" s="6"/>
      <c r="C30" s="88" t="s">
        <v>42</v>
      </c>
      <c r="D30" s="88"/>
      <c r="E30" s="116" t="str">
        <f>Curr_2</f>
        <v>EUR</v>
      </c>
      <c r="G30" s="45"/>
      <c r="H30" s="45"/>
      <c r="I30" s="7"/>
    </row>
    <row r="31" spans="1:9" x14ac:dyDescent="0.2">
      <c r="A31" s="6"/>
      <c r="C31" s="88" t="s">
        <v>43</v>
      </c>
      <c r="D31" s="88"/>
      <c r="E31" s="117">
        <f>Curr_Conv</f>
        <v>1.8640000000000001</v>
      </c>
      <c r="G31" s="45"/>
      <c r="H31" s="45"/>
      <c r="I31" s="7"/>
    </row>
    <row r="32" spans="1:9" x14ac:dyDescent="0.2">
      <c r="A32" s="6"/>
      <c r="C32" s="88"/>
      <c r="D32" s="88"/>
      <c r="E32" s="117"/>
      <c r="G32" s="45"/>
      <c r="H32" s="45"/>
      <c r="I32" s="7"/>
    </row>
    <row r="33" spans="1:9" ht="13.5" thickBot="1" x14ac:dyDescent="0.25">
      <c r="A33" s="6"/>
      <c r="C33" s="88"/>
      <c r="D33" s="88"/>
      <c r="E33" s="117"/>
      <c r="G33" s="45"/>
      <c r="H33" s="45"/>
      <c r="I33" s="7"/>
    </row>
    <row r="34" spans="1:9" x14ac:dyDescent="0.2">
      <c r="A34" s="6"/>
      <c r="C34" s="123" t="s">
        <v>1</v>
      </c>
      <c r="D34" s="389" t="s">
        <v>532</v>
      </c>
      <c r="E34" s="124" t="s">
        <v>38</v>
      </c>
      <c r="F34" s="124" t="s">
        <v>39</v>
      </c>
      <c r="G34" s="131" t="s">
        <v>41</v>
      </c>
      <c r="H34" s="132" t="s">
        <v>41</v>
      </c>
      <c r="I34" s="7"/>
    </row>
    <row r="35" spans="1:9" ht="13.5" thickBot="1" x14ac:dyDescent="0.25">
      <c r="A35" s="6"/>
      <c r="C35" s="135"/>
      <c r="D35" s="390"/>
      <c r="E35" s="136"/>
      <c r="F35" s="136" t="s">
        <v>40</v>
      </c>
      <c r="G35" s="137" t="str">
        <f>Curr_1</f>
        <v>USD</v>
      </c>
      <c r="H35" s="138" t="str">
        <f>Curr_2</f>
        <v>EUR</v>
      </c>
      <c r="I35" s="7"/>
    </row>
    <row r="36" spans="1:9" x14ac:dyDescent="0.2">
      <c r="A36" s="6"/>
      <c r="C36" s="139" t="s">
        <v>129</v>
      </c>
      <c r="D36" s="391" t="str">
        <f t="shared" ref="D36:D44" si="3">unit_number</f>
        <v>each</v>
      </c>
      <c r="E36" s="413">
        <v>1</v>
      </c>
      <c r="F36" s="414"/>
      <c r="G36" s="71">
        <f>(F36*E36)</f>
        <v>0</v>
      </c>
      <c r="H36" s="72">
        <f>(G36/$E$31)</f>
        <v>0</v>
      </c>
      <c r="I36" s="7"/>
    </row>
    <row r="37" spans="1:9" x14ac:dyDescent="0.2">
      <c r="A37" s="6"/>
      <c r="C37" s="5" t="s">
        <v>130</v>
      </c>
      <c r="D37" s="391" t="str">
        <f t="shared" si="3"/>
        <v>each</v>
      </c>
      <c r="E37" s="415">
        <v>1</v>
      </c>
      <c r="F37" s="416"/>
      <c r="G37" s="73">
        <f t="shared" ref="G37:G44" si="4">(F37*E37)</f>
        <v>0</v>
      </c>
      <c r="H37" s="74">
        <f t="shared" ref="H37:H44" si="5">(G37/$E$31)</f>
        <v>0</v>
      </c>
      <c r="I37" s="7"/>
    </row>
    <row r="38" spans="1:9" x14ac:dyDescent="0.2">
      <c r="A38" s="6"/>
      <c r="C38" s="5" t="s">
        <v>128</v>
      </c>
      <c r="D38" s="391" t="str">
        <f t="shared" si="3"/>
        <v>each</v>
      </c>
      <c r="E38" s="415">
        <v>1</v>
      </c>
      <c r="F38" s="416"/>
      <c r="G38" s="73">
        <f t="shared" si="4"/>
        <v>0</v>
      </c>
      <c r="H38" s="74">
        <f t="shared" si="5"/>
        <v>0</v>
      </c>
      <c r="I38" s="7"/>
    </row>
    <row r="39" spans="1:9" x14ac:dyDescent="0.2">
      <c r="A39" s="6"/>
      <c r="C39" s="5" t="s">
        <v>126</v>
      </c>
      <c r="D39" s="391" t="str">
        <f t="shared" si="3"/>
        <v>each</v>
      </c>
      <c r="E39" s="415">
        <v>1</v>
      </c>
      <c r="F39" s="416"/>
      <c r="G39" s="73">
        <f t="shared" si="4"/>
        <v>0</v>
      </c>
      <c r="H39" s="74">
        <f t="shared" si="5"/>
        <v>0</v>
      </c>
      <c r="I39" s="7"/>
    </row>
    <row r="40" spans="1:9" x14ac:dyDescent="0.2">
      <c r="A40" s="6"/>
      <c r="C40" s="5" t="s">
        <v>127</v>
      </c>
      <c r="D40" s="391" t="str">
        <f t="shared" si="3"/>
        <v>each</v>
      </c>
      <c r="E40" s="415">
        <v>1</v>
      </c>
      <c r="F40" s="416"/>
      <c r="G40" s="73">
        <f t="shared" si="4"/>
        <v>0</v>
      </c>
      <c r="H40" s="74">
        <f t="shared" si="5"/>
        <v>0</v>
      </c>
      <c r="I40" s="7"/>
    </row>
    <row r="41" spans="1:9" x14ac:dyDescent="0.2">
      <c r="A41" s="6"/>
      <c r="C41" s="5" t="s">
        <v>113</v>
      </c>
      <c r="D41" s="391" t="str">
        <f t="shared" si="3"/>
        <v>each</v>
      </c>
      <c r="E41" s="415">
        <v>1</v>
      </c>
      <c r="F41" s="416"/>
      <c r="G41" s="73">
        <f t="shared" si="4"/>
        <v>0</v>
      </c>
      <c r="H41" s="74">
        <f t="shared" si="5"/>
        <v>0</v>
      </c>
      <c r="I41" s="7"/>
    </row>
    <row r="42" spans="1:9" x14ac:dyDescent="0.2">
      <c r="A42" s="6"/>
      <c r="C42" s="5" t="s">
        <v>44</v>
      </c>
      <c r="D42" s="391" t="str">
        <f t="shared" si="3"/>
        <v>each</v>
      </c>
      <c r="E42" s="415">
        <v>1</v>
      </c>
      <c r="F42" s="416"/>
      <c r="G42" s="73">
        <f t="shared" si="4"/>
        <v>0</v>
      </c>
      <c r="H42" s="74">
        <f t="shared" si="5"/>
        <v>0</v>
      </c>
      <c r="I42" s="7"/>
    </row>
    <row r="43" spans="1:9" x14ac:dyDescent="0.2">
      <c r="A43" s="6"/>
      <c r="C43" s="5" t="s">
        <v>45</v>
      </c>
      <c r="D43" s="391" t="str">
        <f t="shared" si="3"/>
        <v>each</v>
      </c>
      <c r="E43" s="415">
        <v>1</v>
      </c>
      <c r="F43" s="416"/>
      <c r="G43" s="73">
        <f t="shared" si="4"/>
        <v>0</v>
      </c>
      <c r="H43" s="74">
        <f t="shared" si="5"/>
        <v>0</v>
      </c>
      <c r="I43" s="7"/>
    </row>
    <row r="44" spans="1:9" ht="13.5" thickBot="1" x14ac:dyDescent="0.25">
      <c r="A44" s="6"/>
      <c r="C44" s="9" t="s">
        <v>111</v>
      </c>
      <c r="D44" s="391" t="str">
        <f t="shared" si="3"/>
        <v>each</v>
      </c>
      <c r="E44" s="417">
        <v>1</v>
      </c>
      <c r="F44" s="418"/>
      <c r="G44" s="78">
        <f t="shared" si="4"/>
        <v>0</v>
      </c>
      <c r="H44" s="79">
        <f t="shared" si="5"/>
        <v>0</v>
      </c>
      <c r="I44" s="7"/>
    </row>
    <row r="45" spans="1:9" ht="13.5" thickBot="1" x14ac:dyDescent="0.25">
      <c r="A45" s="6"/>
      <c r="C45" s="16" t="s">
        <v>78</v>
      </c>
      <c r="D45" s="387"/>
      <c r="E45" s="140"/>
      <c r="F45" s="140"/>
      <c r="G45" s="179">
        <f>SUM(G36:G44)</f>
        <v>0</v>
      </c>
      <c r="H45" s="180">
        <f>SUM(H36:H44)</f>
        <v>0</v>
      </c>
      <c r="I45" s="7"/>
    </row>
    <row r="46" spans="1:9" ht="13.5" thickBot="1" x14ac:dyDescent="0.25">
      <c r="A46" s="26"/>
      <c r="B46" s="27"/>
      <c r="C46" s="27"/>
      <c r="D46" s="27"/>
      <c r="E46" s="27"/>
      <c r="F46" s="27"/>
      <c r="G46" s="27"/>
      <c r="H46" s="27"/>
      <c r="I46" s="8"/>
    </row>
  </sheetData>
  <mergeCells count="1">
    <mergeCell ref="K1:L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Q125"/>
  <sheetViews>
    <sheetView workbookViewId="0">
      <selection activeCell="F119" sqref="F119"/>
    </sheetView>
  </sheetViews>
  <sheetFormatPr defaultRowHeight="12.75" x14ac:dyDescent="0.2"/>
  <cols>
    <col min="1" max="1" width="1" customWidth="1"/>
    <col min="2" max="2" width="1.7109375" customWidth="1"/>
    <col min="3" max="3" width="34.140625" customWidth="1"/>
    <col min="4" max="4" width="12" customWidth="1"/>
    <col min="5" max="5" width="5.7109375" customWidth="1"/>
    <col min="6" max="8" width="11.7109375" customWidth="1"/>
    <col min="9" max="9" width="3.7109375" customWidth="1"/>
    <col min="11" max="11" width="12.85546875" customWidth="1"/>
    <col min="12" max="12" width="11.42578125" customWidth="1"/>
    <col min="13" max="13" width="10.85546875" customWidth="1"/>
    <col min="14" max="14" width="11.7109375" customWidth="1"/>
    <col min="15" max="15" width="10.7109375" customWidth="1"/>
    <col min="16" max="16" width="10.42578125" customWidth="1"/>
    <col min="17" max="17" width="10.28515625" customWidth="1"/>
  </cols>
  <sheetData>
    <row r="1" spans="1:17" x14ac:dyDescent="0.2">
      <c r="A1" s="21"/>
      <c r="B1" s="22"/>
      <c r="C1" s="22"/>
      <c r="D1" s="22"/>
      <c r="E1" s="22"/>
      <c r="F1" s="22"/>
      <c r="G1" s="22"/>
      <c r="H1" s="22"/>
      <c r="I1" s="23"/>
      <c r="K1" s="502" t="str">
        <f>"COSTING DATA "&amp;Curr_1</f>
        <v>COSTING DATA USD</v>
      </c>
      <c r="L1" s="503"/>
      <c r="M1" s="503"/>
      <c r="N1" s="503"/>
      <c r="O1" s="503"/>
      <c r="P1" s="503"/>
      <c r="Q1" s="504"/>
    </row>
    <row r="2" spans="1:17" x14ac:dyDescent="0.2">
      <c r="A2" s="6"/>
      <c r="B2" s="24" t="s">
        <v>131</v>
      </c>
      <c r="C2" s="25"/>
      <c r="D2" s="25"/>
      <c r="E2" s="25"/>
      <c r="F2" s="25"/>
      <c r="G2" s="142"/>
      <c r="H2" s="44" t="s">
        <v>354</v>
      </c>
      <c r="I2" s="178"/>
      <c r="K2" s="66" t="s">
        <v>246</v>
      </c>
      <c r="L2" s="66" t="s">
        <v>338</v>
      </c>
      <c r="M2" s="66" t="s">
        <v>343</v>
      </c>
      <c r="N2" s="66" t="s">
        <v>347</v>
      </c>
      <c r="O2" s="66" t="s">
        <v>349</v>
      </c>
      <c r="P2" s="66" t="s">
        <v>350</v>
      </c>
      <c r="Q2" s="66" t="s">
        <v>353</v>
      </c>
    </row>
    <row r="3" spans="1:17" ht="13.5" thickBot="1" x14ac:dyDescent="0.25">
      <c r="A3" s="6"/>
      <c r="G3" s="45"/>
      <c r="H3" s="45"/>
      <c r="I3" s="7"/>
      <c r="K3" s="351">
        <f>(G5)</f>
        <v>0</v>
      </c>
      <c r="L3" s="351">
        <f>(G39)</f>
        <v>0</v>
      </c>
      <c r="M3" s="351">
        <f>(G55)</f>
        <v>0</v>
      </c>
      <c r="N3" s="351">
        <f>(G71)</f>
        <v>0</v>
      </c>
      <c r="O3" s="351">
        <f>(G87)</f>
        <v>0</v>
      </c>
      <c r="P3" s="351">
        <f>(G101)</f>
        <v>0</v>
      </c>
      <c r="Q3" s="351">
        <f>(G115)</f>
        <v>0</v>
      </c>
    </row>
    <row r="4" spans="1:17" ht="13.5" thickBot="1" x14ac:dyDescent="0.25">
      <c r="A4" s="6"/>
      <c r="C4" s="43" t="s">
        <v>132</v>
      </c>
      <c r="D4" s="88"/>
      <c r="F4" s="119" t="s">
        <v>95</v>
      </c>
      <c r="G4" s="131" t="str">
        <f>Curr_1</f>
        <v>USD</v>
      </c>
      <c r="H4" s="132" t="str">
        <f>Curr_2</f>
        <v>EUR</v>
      </c>
      <c r="I4" s="7"/>
    </row>
    <row r="5" spans="1:17" ht="13.5" thickBot="1" x14ac:dyDescent="0.25">
      <c r="A5" s="6"/>
      <c r="F5" s="50" t="s">
        <v>78</v>
      </c>
      <c r="G5" s="47">
        <f>(G34)</f>
        <v>0</v>
      </c>
      <c r="H5" s="48">
        <f>(H34)</f>
        <v>0</v>
      </c>
      <c r="I5" s="7"/>
    </row>
    <row r="6" spans="1:17" x14ac:dyDescent="0.2">
      <c r="A6" s="6"/>
      <c r="C6" s="88" t="s">
        <v>42</v>
      </c>
      <c r="D6" s="88"/>
      <c r="E6" s="116" t="str">
        <f>Curr_2</f>
        <v>EUR</v>
      </c>
      <c r="G6" s="45"/>
      <c r="H6" s="45"/>
      <c r="I6" s="7"/>
    </row>
    <row r="7" spans="1:17" x14ac:dyDescent="0.2">
      <c r="A7" s="6"/>
      <c r="C7" s="88" t="s">
        <v>43</v>
      </c>
      <c r="D7" s="88"/>
      <c r="E7" s="117">
        <f>Curr_Conv</f>
        <v>1.8640000000000001</v>
      </c>
      <c r="G7" s="45"/>
      <c r="H7" s="45"/>
      <c r="I7" s="7"/>
    </row>
    <row r="8" spans="1:17" ht="13.5" thickBot="1" x14ac:dyDescent="0.25">
      <c r="A8" s="6"/>
      <c r="I8" s="7"/>
    </row>
    <row r="9" spans="1:17" x14ac:dyDescent="0.2">
      <c r="A9" s="6"/>
      <c r="C9" s="123" t="s">
        <v>1</v>
      </c>
      <c r="D9" s="389" t="s">
        <v>532</v>
      </c>
      <c r="E9" s="124" t="s">
        <v>38</v>
      </c>
      <c r="F9" s="124" t="s">
        <v>39</v>
      </c>
      <c r="G9" s="131" t="s">
        <v>41</v>
      </c>
      <c r="H9" s="132" t="s">
        <v>41</v>
      </c>
      <c r="I9" s="7"/>
    </row>
    <row r="10" spans="1:17" ht="13.5" thickBot="1" x14ac:dyDescent="0.25">
      <c r="A10" s="6"/>
      <c r="C10" s="135"/>
      <c r="D10" s="390"/>
      <c r="E10" s="136"/>
      <c r="F10" s="136" t="s">
        <v>40</v>
      </c>
      <c r="G10" s="137" t="str">
        <f>Curr_1</f>
        <v>USD</v>
      </c>
      <c r="H10" s="138" t="str">
        <f>Curr_2</f>
        <v>EUR</v>
      </c>
      <c r="I10" s="7"/>
    </row>
    <row r="11" spans="1:17" x14ac:dyDescent="0.2">
      <c r="A11" s="6"/>
      <c r="C11" s="69" t="s">
        <v>133</v>
      </c>
      <c r="D11" s="397" t="str">
        <f t="shared" ref="D11:D33" si="0">unit_number</f>
        <v>each</v>
      </c>
      <c r="E11" s="419">
        <v>1</v>
      </c>
      <c r="F11" s="412"/>
      <c r="G11" s="173">
        <f>(F11*E11)</f>
        <v>0</v>
      </c>
      <c r="H11" s="174">
        <f>(G11/$E$7)</f>
        <v>0</v>
      </c>
      <c r="I11" s="7"/>
    </row>
    <row r="12" spans="1:17" x14ac:dyDescent="0.2">
      <c r="A12" s="6"/>
      <c r="C12" s="3" t="s">
        <v>134</v>
      </c>
      <c r="D12" s="398" t="str">
        <f t="shared" si="0"/>
        <v>each</v>
      </c>
      <c r="E12" s="420">
        <v>1</v>
      </c>
      <c r="F12" s="369"/>
      <c r="G12" s="111">
        <f t="shared" ref="G12:G33" si="1">(F12*E12)</f>
        <v>0</v>
      </c>
      <c r="H12" s="166">
        <f t="shared" ref="H12:H33" si="2">(G12/$E$7)</f>
        <v>0</v>
      </c>
      <c r="I12" s="7"/>
    </row>
    <row r="13" spans="1:17" x14ac:dyDescent="0.2">
      <c r="A13" s="6"/>
      <c r="C13" s="3" t="s">
        <v>135</v>
      </c>
      <c r="D13" s="398" t="str">
        <f t="shared" si="0"/>
        <v>each</v>
      </c>
      <c r="E13" s="420">
        <v>1</v>
      </c>
      <c r="F13" s="369"/>
      <c r="G13" s="111">
        <f t="shared" si="1"/>
        <v>0</v>
      </c>
      <c r="H13" s="166">
        <f t="shared" si="2"/>
        <v>0</v>
      </c>
      <c r="I13" s="7"/>
    </row>
    <row r="14" spans="1:17" x14ac:dyDescent="0.2">
      <c r="A14" s="6"/>
      <c r="C14" s="3" t="s">
        <v>141</v>
      </c>
      <c r="D14" s="398" t="str">
        <f t="shared" si="0"/>
        <v>each</v>
      </c>
      <c r="E14" s="420">
        <v>1</v>
      </c>
      <c r="F14" s="369"/>
      <c r="G14" s="111">
        <f t="shared" si="1"/>
        <v>0</v>
      </c>
      <c r="H14" s="166">
        <f t="shared" si="2"/>
        <v>0</v>
      </c>
      <c r="I14" s="7"/>
    </row>
    <row r="15" spans="1:17" x14ac:dyDescent="0.2">
      <c r="A15" s="6"/>
      <c r="C15" s="3" t="s">
        <v>142</v>
      </c>
      <c r="D15" s="398" t="str">
        <f t="shared" si="0"/>
        <v>each</v>
      </c>
      <c r="E15" s="420">
        <v>1</v>
      </c>
      <c r="F15" s="369"/>
      <c r="G15" s="111">
        <f t="shared" si="1"/>
        <v>0</v>
      </c>
      <c r="H15" s="166">
        <f t="shared" si="2"/>
        <v>0</v>
      </c>
      <c r="I15" s="7"/>
    </row>
    <row r="16" spans="1:17" x14ac:dyDescent="0.2">
      <c r="A16" s="6"/>
      <c r="C16" s="3" t="s">
        <v>123</v>
      </c>
      <c r="D16" s="398" t="str">
        <f t="shared" si="0"/>
        <v>each</v>
      </c>
      <c r="E16" s="420">
        <v>1</v>
      </c>
      <c r="F16" s="369"/>
      <c r="G16" s="111">
        <f t="shared" si="1"/>
        <v>0</v>
      </c>
      <c r="H16" s="166">
        <f t="shared" si="2"/>
        <v>0</v>
      </c>
      <c r="I16" s="7"/>
    </row>
    <row r="17" spans="1:9" x14ac:dyDescent="0.2">
      <c r="A17" s="6"/>
      <c r="C17" s="3" t="s">
        <v>127</v>
      </c>
      <c r="D17" s="398" t="str">
        <f t="shared" si="0"/>
        <v>each</v>
      </c>
      <c r="E17" s="420">
        <v>1</v>
      </c>
      <c r="F17" s="369"/>
      <c r="G17" s="111">
        <f t="shared" si="1"/>
        <v>0</v>
      </c>
      <c r="H17" s="166">
        <f t="shared" si="2"/>
        <v>0</v>
      </c>
      <c r="I17" s="7"/>
    </row>
    <row r="18" spans="1:9" x14ac:dyDescent="0.2">
      <c r="A18" s="6"/>
      <c r="C18" s="3" t="s">
        <v>143</v>
      </c>
      <c r="D18" s="398" t="str">
        <f t="shared" si="0"/>
        <v>each</v>
      </c>
      <c r="E18" s="420">
        <v>1</v>
      </c>
      <c r="F18" s="369"/>
      <c r="G18" s="111">
        <f>(F18*E18)</f>
        <v>0</v>
      </c>
      <c r="H18" s="166">
        <f t="shared" si="2"/>
        <v>0</v>
      </c>
      <c r="I18" s="7"/>
    </row>
    <row r="19" spans="1:9" x14ac:dyDescent="0.2">
      <c r="A19" s="6"/>
      <c r="C19" s="3" t="s">
        <v>136</v>
      </c>
      <c r="D19" s="398" t="str">
        <f t="shared" si="0"/>
        <v>each</v>
      </c>
      <c r="E19" s="420">
        <v>1</v>
      </c>
      <c r="F19" s="369"/>
      <c r="G19" s="111">
        <f t="shared" si="1"/>
        <v>0</v>
      </c>
      <c r="H19" s="166">
        <f t="shared" si="2"/>
        <v>0</v>
      </c>
      <c r="I19" s="7"/>
    </row>
    <row r="20" spans="1:9" x14ac:dyDescent="0.2">
      <c r="A20" s="6"/>
      <c r="C20" s="3" t="s">
        <v>137</v>
      </c>
      <c r="D20" s="398" t="str">
        <f t="shared" si="0"/>
        <v>each</v>
      </c>
      <c r="E20" s="420">
        <v>1</v>
      </c>
      <c r="F20" s="369"/>
      <c r="G20" s="111">
        <f t="shared" si="1"/>
        <v>0</v>
      </c>
      <c r="H20" s="166">
        <f t="shared" si="2"/>
        <v>0</v>
      </c>
      <c r="I20" s="7"/>
    </row>
    <row r="21" spans="1:9" x14ac:dyDescent="0.2">
      <c r="A21" s="6"/>
      <c r="C21" s="3" t="s">
        <v>138</v>
      </c>
      <c r="D21" s="398" t="str">
        <f t="shared" si="0"/>
        <v>each</v>
      </c>
      <c r="E21" s="420">
        <v>1</v>
      </c>
      <c r="F21" s="369"/>
      <c r="G21" s="111">
        <f t="shared" si="1"/>
        <v>0</v>
      </c>
      <c r="H21" s="166">
        <f t="shared" si="2"/>
        <v>0</v>
      </c>
      <c r="I21" s="7"/>
    </row>
    <row r="22" spans="1:9" x14ac:dyDescent="0.2">
      <c r="A22" s="6"/>
      <c r="C22" s="3" t="s">
        <v>312</v>
      </c>
      <c r="D22" s="398" t="str">
        <f t="shared" si="0"/>
        <v>each</v>
      </c>
      <c r="E22" s="420">
        <v>1</v>
      </c>
      <c r="F22" s="369"/>
      <c r="G22" s="111">
        <f>(F22*E22)</f>
        <v>0</v>
      </c>
      <c r="H22" s="166">
        <f t="shared" si="2"/>
        <v>0</v>
      </c>
      <c r="I22" s="7"/>
    </row>
    <row r="23" spans="1:9" x14ac:dyDescent="0.2">
      <c r="A23" s="6"/>
      <c r="C23" s="3" t="s">
        <v>139</v>
      </c>
      <c r="D23" s="398" t="str">
        <f t="shared" si="0"/>
        <v>each</v>
      </c>
      <c r="E23" s="420">
        <v>1</v>
      </c>
      <c r="F23" s="369"/>
      <c r="G23" s="111">
        <f t="shared" si="1"/>
        <v>0</v>
      </c>
      <c r="H23" s="166">
        <f t="shared" si="2"/>
        <v>0</v>
      </c>
      <c r="I23" s="7"/>
    </row>
    <row r="24" spans="1:9" x14ac:dyDescent="0.2">
      <c r="A24" s="6"/>
      <c r="C24" s="3" t="s">
        <v>313</v>
      </c>
      <c r="D24" s="398" t="str">
        <f t="shared" si="0"/>
        <v>each</v>
      </c>
      <c r="E24" s="420">
        <v>1</v>
      </c>
      <c r="F24" s="369"/>
      <c r="G24" s="111">
        <f>(F24*E24)</f>
        <v>0</v>
      </c>
      <c r="H24" s="166">
        <f t="shared" si="2"/>
        <v>0</v>
      </c>
      <c r="I24" s="7"/>
    </row>
    <row r="25" spans="1:9" x14ac:dyDescent="0.2">
      <c r="A25" s="6"/>
      <c r="C25" s="3" t="s">
        <v>332</v>
      </c>
      <c r="D25" s="398" t="str">
        <f t="shared" si="0"/>
        <v>each</v>
      </c>
      <c r="E25" s="420">
        <v>1</v>
      </c>
      <c r="F25" s="369"/>
      <c r="G25" s="111">
        <f>(F25*E25)</f>
        <v>0</v>
      </c>
      <c r="H25" s="166">
        <f t="shared" si="2"/>
        <v>0</v>
      </c>
      <c r="I25" s="7"/>
    </row>
    <row r="26" spans="1:9" x14ac:dyDescent="0.2">
      <c r="A26" s="6"/>
      <c r="C26" s="3" t="s">
        <v>333</v>
      </c>
      <c r="D26" s="398" t="str">
        <f t="shared" si="0"/>
        <v>each</v>
      </c>
      <c r="E26" s="420">
        <v>1</v>
      </c>
      <c r="F26" s="369"/>
      <c r="G26" s="111">
        <f>(F26*E26)</f>
        <v>0</v>
      </c>
      <c r="H26" s="166">
        <f t="shared" si="2"/>
        <v>0</v>
      </c>
      <c r="I26" s="7"/>
    </row>
    <row r="27" spans="1:9" x14ac:dyDescent="0.2">
      <c r="A27" s="6"/>
      <c r="C27" s="3" t="s">
        <v>334</v>
      </c>
      <c r="D27" s="398" t="str">
        <f t="shared" si="0"/>
        <v>each</v>
      </c>
      <c r="E27" s="420">
        <v>1</v>
      </c>
      <c r="F27" s="369"/>
      <c r="G27" s="111">
        <f>(F27*E27)</f>
        <v>0</v>
      </c>
      <c r="H27" s="166">
        <f t="shared" si="2"/>
        <v>0</v>
      </c>
      <c r="I27" s="7"/>
    </row>
    <row r="28" spans="1:9" x14ac:dyDescent="0.2">
      <c r="A28" s="6"/>
      <c r="C28" s="3" t="s">
        <v>140</v>
      </c>
      <c r="D28" s="398" t="str">
        <f t="shared" si="0"/>
        <v>each</v>
      </c>
      <c r="E28" s="420">
        <v>1</v>
      </c>
      <c r="F28" s="369"/>
      <c r="G28" s="111">
        <f t="shared" si="1"/>
        <v>0</v>
      </c>
      <c r="H28" s="166">
        <f t="shared" si="2"/>
        <v>0</v>
      </c>
      <c r="I28" s="7"/>
    </row>
    <row r="29" spans="1:9" x14ac:dyDescent="0.2">
      <c r="A29" s="6"/>
      <c r="C29" s="3" t="s">
        <v>92</v>
      </c>
      <c r="D29" s="398" t="str">
        <f t="shared" si="0"/>
        <v>each</v>
      </c>
      <c r="E29" s="420">
        <v>1</v>
      </c>
      <c r="F29" s="369"/>
      <c r="G29" s="111">
        <f t="shared" si="1"/>
        <v>0</v>
      </c>
      <c r="H29" s="166">
        <f t="shared" si="2"/>
        <v>0</v>
      </c>
      <c r="I29" s="7"/>
    </row>
    <row r="30" spans="1:9" x14ac:dyDescent="0.2">
      <c r="A30" s="6"/>
      <c r="C30" s="3" t="s">
        <v>44</v>
      </c>
      <c r="D30" s="398" t="str">
        <f t="shared" si="0"/>
        <v>each</v>
      </c>
      <c r="E30" s="420">
        <v>1</v>
      </c>
      <c r="F30" s="369"/>
      <c r="G30" s="111">
        <f t="shared" si="1"/>
        <v>0</v>
      </c>
      <c r="H30" s="166">
        <f t="shared" si="2"/>
        <v>0</v>
      </c>
      <c r="I30" s="7"/>
    </row>
    <row r="31" spans="1:9" x14ac:dyDescent="0.2">
      <c r="A31" s="6"/>
      <c r="C31" s="3" t="s">
        <v>45</v>
      </c>
      <c r="D31" s="398" t="str">
        <f t="shared" si="0"/>
        <v>each</v>
      </c>
      <c r="E31" s="420">
        <v>1</v>
      </c>
      <c r="F31" s="369"/>
      <c r="G31" s="111">
        <f t="shared" si="1"/>
        <v>0</v>
      </c>
      <c r="H31" s="166">
        <f t="shared" si="2"/>
        <v>0</v>
      </c>
      <c r="I31" s="7"/>
    </row>
    <row r="32" spans="1:9" x14ac:dyDescent="0.2">
      <c r="A32" s="6"/>
      <c r="C32" s="3" t="s">
        <v>109</v>
      </c>
      <c r="D32" s="398" t="str">
        <f t="shared" si="0"/>
        <v>each</v>
      </c>
      <c r="E32" s="421">
        <v>1</v>
      </c>
      <c r="F32" s="371"/>
      <c r="G32" s="111">
        <f>(F32*E32)</f>
        <v>0</v>
      </c>
      <c r="H32" s="166">
        <f t="shared" si="2"/>
        <v>0</v>
      </c>
      <c r="I32" s="7"/>
    </row>
    <row r="33" spans="1:9" ht="13.5" thickBot="1" x14ac:dyDescent="0.25">
      <c r="A33" s="6"/>
      <c r="C33" s="51" t="s">
        <v>111</v>
      </c>
      <c r="D33" s="398" t="str">
        <f t="shared" si="0"/>
        <v>each</v>
      </c>
      <c r="E33" s="421">
        <v>1</v>
      </c>
      <c r="F33" s="371"/>
      <c r="G33" s="181">
        <f t="shared" si="1"/>
        <v>0</v>
      </c>
      <c r="H33" s="182">
        <f t="shared" si="2"/>
        <v>0</v>
      </c>
      <c r="I33" s="7"/>
    </row>
    <row r="34" spans="1:9" ht="13.5" thickBot="1" x14ac:dyDescent="0.25">
      <c r="A34" s="6"/>
      <c r="C34" s="16" t="s">
        <v>78</v>
      </c>
      <c r="D34" s="387"/>
      <c r="E34" s="177"/>
      <c r="F34" s="164"/>
      <c r="G34" s="164">
        <f>SUM(G11:G33)</f>
        <v>0</v>
      </c>
      <c r="H34" s="165">
        <f>SUM(H11:H33)</f>
        <v>0</v>
      </c>
      <c r="I34" s="7"/>
    </row>
    <row r="35" spans="1:9" x14ac:dyDescent="0.2">
      <c r="A35" s="6"/>
      <c r="I35" s="7"/>
    </row>
    <row r="36" spans="1:9" x14ac:dyDescent="0.2">
      <c r="A36" s="6"/>
      <c r="I36" s="7"/>
    </row>
    <row r="37" spans="1:9" ht="13.5" thickBot="1" x14ac:dyDescent="0.25">
      <c r="A37" s="6"/>
      <c r="I37" s="7"/>
    </row>
    <row r="38" spans="1:9" ht="13.5" thickBot="1" x14ac:dyDescent="0.25">
      <c r="A38" s="6"/>
      <c r="C38" s="43" t="s">
        <v>335</v>
      </c>
      <c r="D38" s="88"/>
      <c r="F38" s="119" t="s">
        <v>95</v>
      </c>
      <c r="G38" s="131" t="str">
        <f>Curr_1</f>
        <v>USD</v>
      </c>
      <c r="H38" s="132" t="str">
        <f>Curr_2</f>
        <v>EUR</v>
      </c>
      <c r="I38" s="7"/>
    </row>
    <row r="39" spans="1:9" ht="13.5" thickBot="1" x14ac:dyDescent="0.25">
      <c r="A39" s="6"/>
      <c r="F39" s="122" t="s">
        <v>78</v>
      </c>
      <c r="G39" s="47">
        <f>(G48)</f>
        <v>0</v>
      </c>
      <c r="H39" s="48">
        <f>(H48)</f>
        <v>0</v>
      </c>
      <c r="I39" s="7"/>
    </row>
    <row r="40" spans="1:9" x14ac:dyDescent="0.2">
      <c r="A40" s="6"/>
      <c r="C40" s="88" t="s">
        <v>42</v>
      </c>
      <c r="D40" s="88"/>
      <c r="E40" s="116" t="str">
        <f>Curr_2</f>
        <v>EUR</v>
      </c>
      <c r="G40" s="45"/>
      <c r="H40" s="45"/>
      <c r="I40" s="7"/>
    </row>
    <row r="41" spans="1:9" x14ac:dyDescent="0.2">
      <c r="A41" s="6"/>
      <c r="C41" s="88" t="s">
        <v>43</v>
      </c>
      <c r="D41" s="88"/>
      <c r="E41" s="117">
        <f>Curr_Conv</f>
        <v>1.8640000000000001</v>
      </c>
      <c r="G41" s="45"/>
      <c r="H41" s="45"/>
      <c r="I41" s="7"/>
    </row>
    <row r="42" spans="1:9" ht="13.5" thickBot="1" x14ac:dyDescent="0.25">
      <c r="A42" s="6"/>
      <c r="I42" s="7"/>
    </row>
    <row r="43" spans="1:9" x14ac:dyDescent="0.2">
      <c r="A43" s="6"/>
      <c r="C43" s="123" t="s">
        <v>1</v>
      </c>
      <c r="D43" s="389" t="s">
        <v>156</v>
      </c>
      <c r="E43" s="124" t="s">
        <v>38</v>
      </c>
      <c r="F43" s="124" t="s">
        <v>39</v>
      </c>
      <c r="G43" s="124" t="s">
        <v>41</v>
      </c>
      <c r="H43" s="184" t="s">
        <v>41</v>
      </c>
      <c r="I43" s="7"/>
    </row>
    <row r="44" spans="1:9" ht="13.5" thickBot="1" x14ac:dyDescent="0.25">
      <c r="A44" s="6"/>
      <c r="C44" s="14"/>
      <c r="D44" s="386"/>
      <c r="E44" s="125"/>
      <c r="F44" s="125" t="s">
        <v>40</v>
      </c>
      <c r="G44" s="125" t="str">
        <f>Curr_1</f>
        <v>USD</v>
      </c>
      <c r="H44" s="185" t="str">
        <f>Curr_2</f>
        <v>EUR</v>
      </c>
      <c r="I44" s="7"/>
    </row>
    <row r="45" spans="1:9" ht="14.25" x14ac:dyDescent="0.2">
      <c r="A45" s="6"/>
      <c r="C45" s="49" t="s">
        <v>336</v>
      </c>
      <c r="D45" s="399" t="str">
        <f>unit_area</f>
        <v>sqrm</v>
      </c>
      <c r="E45" s="411">
        <v>10</v>
      </c>
      <c r="F45" s="401"/>
      <c r="G45" s="161">
        <f>(F45*E45)</f>
        <v>0</v>
      </c>
      <c r="H45" s="162">
        <f>(G45/$E$41)</f>
        <v>0</v>
      </c>
      <c r="I45" s="7"/>
    </row>
    <row r="46" spans="1:9" x14ac:dyDescent="0.2">
      <c r="A46" s="6"/>
      <c r="C46" s="5" t="s">
        <v>337</v>
      </c>
      <c r="D46" s="398" t="str">
        <f>unit_number</f>
        <v>each</v>
      </c>
      <c r="E46" s="422"/>
      <c r="F46" s="423"/>
      <c r="G46" s="161">
        <f>(F46*E46)</f>
        <v>0</v>
      </c>
      <c r="H46" s="162">
        <f>(G46/$E$41)</f>
        <v>0</v>
      </c>
      <c r="I46" s="7"/>
    </row>
    <row r="47" spans="1:9" ht="13.5" thickBot="1" x14ac:dyDescent="0.25">
      <c r="A47" s="6"/>
      <c r="C47" s="49" t="s">
        <v>111</v>
      </c>
      <c r="D47" s="400" t="str">
        <f>unit_number</f>
        <v>each</v>
      </c>
      <c r="E47" s="408"/>
      <c r="F47" s="371"/>
      <c r="G47" s="112">
        <f>(F47*E47)</f>
        <v>0</v>
      </c>
      <c r="H47" s="162">
        <f>(G47/$E$41)</f>
        <v>0</v>
      </c>
      <c r="I47" s="7"/>
    </row>
    <row r="48" spans="1:9" ht="13.5" thickBot="1" x14ac:dyDescent="0.25">
      <c r="A48" s="6"/>
      <c r="C48" s="16" t="s">
        <v>78</v>
      </c>
      <c r="D48" s="387"/>
      <c r="E48" s="140"/>
      <c r="F48" s="129"/>
      <c r="G48" s="129">
        <f>SUM(G45:G47)</f>
        <v>0</v>
      </c>
      <c r="H48" s="130">
        <f>SUM(H45:H47)</f>
        <v>0</v>
      </c>
      <c r="I48" s="7"/>
    </row>
    <row r="49" spans="1:9" ht="13.5" thickBot="1" x14ac:dyDescent="0.25">
      <c r="A49" s="26"/>
      <c r="B49" s="27"/>
      <c r="C49" s="27"/>
      <c r="D49" s="27"/>
      <c r="E49" s="27"/>
      <c r="F49" s="27"/>
      <c r="G49" s="27"/>
      <c r="H49" s="27"/>
      <c r="I49" s="8"/>
    </row>
    <row r="50" spans="1:9" ht="13.5" thickBot="1" x14ac:dyDescent="0.25"/>
    <row r="51" spans="1:9" x14ac:dyDescent="0.2">
      <c r="A51" s="21"/>
      <c r="B51" s="22"/>
      <c r="C51" s="22"/>
      <c r="D51" s="22"/>
      <c r="E51" s="22"/>
      <c r="F51" s="22"/>
      <c r="G51" s="22"/>
      <c r="H51" s="22"/>
      <c r="I51" s="23"/>
    </row>
    <row r="52" spans="1:9" x14ac:dyDescent="0.2">
      <c r="A52" s="6"/>
      <c r="B52" s="24" t="s">
        <v>131</v>
      </c>
      <c r="C52" s="25"/>
      <c r="D52" s="25"/>
      <c r="E52" s="25"/>
      <c r="F52" s="25"/>
      <c r="G52" s="142"/>
      <c r="H52" s="44" t="s">
        <v>355</v>
      </c>
      <c r="I52" s="178"/>
    </row>
    <row r="53" spans="1:9" ht="13.5" thickBot="1" x14ac:dyDescent="0.25">
      <c r="A53" s="6"/>
      <c r="I53" s="7"/>
    </row>
    <row r="54" spans="1:9" ht="13.5" thickBot="1" x14ac:dyDescent="0.25">
      <c r="A54" s="6"/>
      <c r="C54" s="43" t="s">
        <v>339</v>
      </c>
      <c r="D54" s="88"/>
      <c r="F54" s="119" t="s">
        <v>95</v>
      </c>
      <c r="G54" s="131" t="str">
        <f>Curr_1</f>
        <v>USD</v>
      </c>
      <c r="H54" s="132" t="str">
        <f>Curr_2</f>
        <v>EUR</v>
      </c>
      <c r="I54" s="7"/>
    </row>
    <row r="55" spans="1:9" ht="13.5" thickBot="1" x14ac:dyDescent="0.25">
      <c r="A55" s="6"/>
      <c r="F55" s="122" t="s">
        <v>78</v>
      </c>
      <c r="G55" s="47">
        <f>(G66)</f>
        <v>0</v>
      </c>
      <c r="H55" s="48">
        <f>(H66)</f>
        <v>0</v>
      </c>
      <c r="I55" s="7"/>
    </row>
    <row r="56" spans="1:9" x14ac:dyDescent="0.2">
      <c r="A56" s="6"/>
      <c r="C56" s="88" t="s">
        <v>42</v>
      </c>
      <c r="D56" s="88"/>
      <c r="E56" s="116" t="str">
        <f>Curr_2</f>
        <v>EUR</v>
      </c>
      <c r="G56" s="45"/>
      <c r="H56" s="45"/>
      <c r="I56" s="7"/>
    </row>
    <row r="57" spans="1:9" x14ac:dyDescent="0.2">
      <c r="A57" s="6"/>
      <c r="C57" s="88" t="s">
        <v>43</v>
      </c>
      <c r="D57" s="88"/>
      <c r="E57" s="117">
        <f>Curr_Conv</f>
        <v>1.8640000000000001</v>
      </c>
      <c r="G57" s="45"/>
      <c r="H57" s="45"/>
      <c r="I57" s="7"/>
    </row>
    <row r="58" spans="1:9" ht="13.5" thickBot="1" x14ac:dyDescent="0.25">
      <c r="A58" s="6"/>
      <c r="I58" s="7"/>
    </row>
    <row r="59" spans="1:9" x14ac:dyDescent="0.2">
      <c r="A59" s="6"/>
      <c r="C59" s="123" t="s">
        <v>1</v>
      </c>
      <c r="D59" s="389" t="s">
        <v>156</v>
      </c>
      <c r="E59" s="124" t="s">
        <v>38</v>
      </c>
      <c r="F59" s="124" t="s">
        <v>39</v>
      </c>
      <c r="G59" s="124" t="s">
        <v>41</v>
      </c>
      <c r="H59" s="184" t="s">
        <v>41</v>
      </c>
      <c r="I59" s="7"/>
    </row>
    <row r="60" spans="1:9" ht="13.5" thickBot="1" x14ac:dyDescent="0.25">
      <c r="A60" s="6"/>
      <c r="C60" s="14"/>
      <c r="D60" s="386"/>
      <c r="E60" s="125"/>
      <c r="F60" s="125" t="s">
        <v>40</v>
      </c>
      <c r="G60" s="125" t="str">
        <f>Curr_1</f>
        <v>USD</v>
      </c>
      <c r="H60" s="185" t="str">
        <f>Curr_2</f>
        <v>EUR</v>
      </c>
      <c r="I60" s="7"/>
    </row>
    <row r="61" spans="1:9" ht="14.25" x14ac:dyDescent="0.2">
      <c r="A61" s="6"/>
      <c r="C61" s="49" t="s">
        <v>336</v>
      </c>
      <c r="D61" s="399" t="str">
        <f>unit_area</f>
        <v>sqrm</v>
      </c>
      <c r="E61" s="411">
        <v>5</v>
      </c>
      <c r="F61" s="401"/>
      <c r="G61" s="161">
        <f>(F61*E61)</f>
        <v>0</v>
      </c>
      <c r="H61" s="162">
        <f>(G61/$E$57)</f>
        <v>0</v>
      </c>
      <c r="I61" s="7"/>
    </row>
    <row r="62" spans="1:9" x14ac:dyDescent="0.2">
      <c r="A62" s="6"/>
      <c r="C62" s="5" t="s">
        <v>340</v>
      </c>
      <c r="D62" s="399" t="str">
        <f>unit_number</f>
        <v>each</v>
      </c>
      <c r="E62" s="405"/>
      <c r="F62" s="369"/>
      <c r="G62" s="161">
        <f>(F62*E62)</f>
        <v>0</v>
      </c>
      <c r="H62" s="162">
        <f>(G62/$E$57)</f>
        <v>0</v>
      </c>
      <c r="I62" s="7"/>
    </row>
    <row r="63" spans="1:9" x14ac:dyDescent="0.2">
      <c r="A63" s="6"/>
      <c r="C63" s="5" t="s">
        <v>341</v>
      </c>
      <c r="D63" s="399" t="str">
        <f>unit_number</f>
        <v>each</v>
      </c>
      <c r="E63" s="405"/>
      <c r="F63" s="369"/>
      <c r="G63" s="161">
        <f>(F63*E63)</f>
        <v>0</v>
      </c>
      <c r="H63" s="162">
        <f>(G63/$E$57)</f>
        <v>0</v>
      </c>
      <c r="I63" s="7"/>
    </row>
    <row r="64" spans="1:9" x14ac:dyDescent="0.2">
      <c r="A64" s="6"/>
      <c r="C64" s="5" t="s">
        <v>342</v>
      </c>
      <c r="D64" s="399" t="str">
        <f>unit_number</f>
        <v>each</v>
      </c>
      <c r="E64" s="405"/>
      <c r="F64" s="369"/>
      <c r="G64" s="161">
        <f>(F64*E64)</f>
        <v>0</v>
      </c>
      <c r="H64" s="162">
        <f>(G64/$E$57)</f>
        <v>0</v>
      </c>
      <c r="I64" s="7"/>
    </row>
    <row r="65" spans="1:9" ht="13.5" thickBot="1" x14ac:dyDescent="0.25">
      <c r="A65" s="6"/>
      <c r="C65" s="5" t="s">
        <v>111</v>
      </c>
      <c r="D65" s="399" t="str">
        <f>unit_number</f>
        <v>each</v>
      </c>
      <c r="E65" s="422"/>
      <c r="F65" s="423"/>
      <c r="G65" s="181">
        <f>(F65*E65)</f>
        <v>0</v>
      </c>
      <c r="H65" s="162">
        <f>(G65/$E$57)</f>
        <v>0</v>
      </c>
      <c r="I65" s="7"/>
    </row>
    <row r="66" spans="1:9" ht="13.5" thickBot="1" x14ac:dyDescent="0.25">
      <c r="A66" s="6"/>
      <c r="C66" s="16" t="s">
        <v>78</v>
      </c>
      <c r="D66" s="387"/>
      <c r="E66" s="140"/>
      <c r="F66" s="129"/>
      <c r="G66" s="129">
        <f>SUM(G61:G65)</f>
        <v>0</v>
      </c>
      <c r="H66" s="130">
        <f>SUM(H61:H65)</f>
        <v>0</v>
      </c>
      <c r="I66" s="7"/>
    </row>
    <row r="67" spans="1:9" x14ac:dyDescent="0.2">
      <c r="A67" s="6"/>
      <c r="I67" s="7"/>
    </row>
    <row r="68" spans="1:9" x14ac:dyDescent="0.2">
      <c r="A68" s="6"/>
      <c r="I68" s="7"/>
    </row>
    <row r="69" spans="1:9" ht="13.5" thickBot="1" x14ac:dyDescent="0.25">
      <c r="A69" s="6"/>
      <c r="I69" s="7"/>
    </row>
    <row r="70" spans="1:9" ht="13.5" thickBot="1" x14ac:dyDescent="0.25">
      <c r="A70" s="6"/>
      <c r="C70" s="43" t="s">
        <v>344</v>
      </c>
      <c r="D70" s="88"/>
      <c r="F70" s="119" t="s">
        <v>95</v>
      </c>
      <c r="G70" s="131" t="str">
        <f>Curr_1</f>
        <v>USD</v>
      </c>
      <c r="H70" s="132" t="str">
        <f>Curr_2</f>
        <v>EUR</v>
      </c>
      <c r="I70" s="7"/>
    </row>
    <row r="71" spans="1:9" ht="13.5" thickBot="1" x14ac:dyDescent="0.25">
      <c r="A71" s="6"/>
      <c r="F71" s="122" t="s">
        <v>78</v>
      </c>
      <c r="G71" s="47">
        <f>(G82)</f>
        <v>0</v>
      </c>
      <c r="H71" s="48">
        <f>(H82)</f>
        <v>0</v>
      </c>
      <c r="I71" s="7"/>
    </row>
    <row r="72" spans="1:9" x14ac:dyDescent="0.2">
      <c r="A72" s="6"/>
      <c r="C72" s="88" t="s">
        <v>42</v>
      </c>
      <c r="D72" s="88"/>
      <c r="E72" s="116" t="str">
        <f>Curr_2</f>
        <v>EUR</v>
      </c>
      <c r="G72" s="45"/>
      <c r="H72" s="45"/>
      <c r="I72" s="7"/>
    </row>
    <row r="73" spans="1:9" x14ac:dyDescent="0.2">
      <c r="A73" s="6"/>
      <c r="C73" s="88" t="s">
        <v>43</v>
      </c>
      <c r="D73" s="88"/>
      <c r="E73" s="117">
        <f>Curr_Conv</f>
        <v>1.8640000000000001</v>
      </c>
      <c r="G73" s="45"/>
      <c r="H73" s="45"/>
      <c r="I73" s="7"/>
    </row>
    <row r="74" spans="1:9" ht="13.5" thickBot="1" x14ac:dyDescent="0.25">
      <c r="A74" s="6"/>
      <c r="I74" s="7"/>
    </row>
    <row r="75" spans="1:9" x14ac:dyDescent="0.2">
      <c r="A75" s="6"/>
      <c r="C75" s="123" t="s">
        <v>1</v>
      </c>
      <c r="D75" s="389" t="s">
        <v>156</v>
      </c>
      <c r="E75" s="124" t="s">
        <v>38</v>
      </c>
      <c r="F75" s="124" t="s">
        <v>39</v>
      </c>
      <c r="G75" s="124" t="s">
        <v>41</v>
      </c>
      <c r="H75" s="184" t="s">
        <v>41</v>
      </c>
      <c r="I75" s="7"/>
    </row>
    <row r="76" spans="1:9" ht="13.5" thickBot="1" x14ac:dyDescent="0.25">
      <c r="A76" s="6"/>
      <c r="C76" s="14"/>
      <c r="D76" s="386"/>
      <c r="E76" s="125"/>
      <c r="F76" s="125" t="s">
        <v>40</v>
      </c>
      <c r="G76" s="125" t="str">
        <f>Curr_1</f>
        <v>USD</v>
      </c>
      <c r="H76" s="185" t="str">
        <f>Curr_2</f>
        <v>EUR</v>
      </c>
      <c r="I76" s="7"/>
    </row>
    <row r="77" spans="1:9" ht="14.25" x14ac:dyDescent="0.2">
      <c r="A77" s="6"/>
      <c r="C77" s="49" t="s">
        <v>336</v>
      </c>
      <c r="D77" s="399" t="str">
        <f>unit_area</f>
        <v>sqrm</v>
      </c>
      <c r="E77" s="411">
        <v>1</v>
      </c>
      <c r="F77" s="401"/>
      <c r="G77" s="161">
        <f>(F77*E77)</f>
        <v>0</v>
      </c>
      <c r="H77" s="162">
        <f>(G77/$E$73)</f>
        <v>0</v>
      </c>
      <c r="I77" s="7"/>
    </row>
    <row r="78" spans="1:9" x14ac:dyDescent="0.2">
      <c r="A78" s="6"/>
      <c r="C78" s="5" t="s">
        <v>340</v>
      </c>
      <c r="D78" s="399" t="str">
        <f>unit_number</f>
        <v>each</v>
      </c>
      <c r="E78" s="405"/>
      <c r="F78" s="369"/>
      <c r="G78" s="161">
        <f>(F78*E78)</f>
        <v>0</v>
      </c>
      <c r="H78" s="162">
        <f>(G78/$E$73)</f>
        <v>0</v>
      </c>
      <c r="I78" s="7"/>
    </row>
    <row r="79" spans="1:9" x14ac:dyDescent="0.2">
      <c r="A79" s="6"/>
      <c r="C79" s="5" t="s">
        <v>345</v>
      </c>
      <c r="D79" s="399" t="str">
        <f>unit_number</f>
        <v>each</v>
      </c>
      <c r="E79" s="405"/>
      <c r="F79" s="369"/>
      <c r="G79" s="161">
        <f>(F79*E79)</f>
        <v>0</v>
      </c>
      <c r="H79" s="162">
        <f>(G79/$E$73)</f>
        <v>0</v>
      </c>
      <c r="I79" s="7"/>
    </row>
    <row r="80" spans="1:9" x14ac:dyDescent="0.2">
      <c r="A80" s="6"/>
      <c r="C80" s="5" t="s">
        <v>346</v>
      </c>
      <c r="D80" s="399" t="str">
        <f>unit_number</f>
        <v>each</v>
      </c>
      <c r="E80" s="405"/>
      <c r="F80" s="369"/>
      <c r="G80" s="161">
        <f>(F80*E80)</f>
        <v>0</v>
      </c>
      <c r="H80" s="162">
        <f>(G80/$E$73)</f>
        <v>0</v>
      </c>
      <c r="I80" s="7"/>
    </row>
    <row r="81" spans="1:9" ht="13.5" thickBot="1" x14ac:dyDescent="0.25">
      <c r="A81" s="6"/>
      <c r="C81" s="5" t="s">
        <v>111</v>
      </c>
      <c r="D81" s="399" t="str">
        <f>unit_number</f>
        <v>each</v>
      </c>
      <c r="E81" s="422"/>
      <c r="F81" s="423"/>
      <c r="G81" s="181">
        <f>(F81*E81)</f>
        <v>0</v>
      </c>
      <c r="H81" s="162">
        <f>(G81/$E$73)</f>
        <v>0</v>
      </c>
      <c r="I81" s="7"/>
    </row>
    <row r="82" spans="1:9" ht="13.5" thickBot="1" x14ac:dyDescent="0.25">
      <c r="A82" s="6"/>
      <c r="C82" s="16" t="s">
        <v>78</v>
      </c>
      <c r="D82" s="387"/>
      <c r="E82" s="140"/>
      <c r="F82" s="129"/>
      <c r="G82" s="129">
        <f>SUM(G77:G81)</f>
        <v>0</v>
      </c>
      <c r="H82" s="130">
        <f>SUM(H77:H81)</f>
        <v>0</v>
      </c>
      <c r="I82" s="7"/>
    </row>
    <row r="83" spans="1:9" x14ac:dyDescent="0.2">
      <c r="A83" s="6"/>
      <c r="I83" s="7"/>
    </row>
    <row r="84" spans="1:9" x14ac:dyDescent="0.2">
      <c r="A84" s="6"/>
      <c r="I84" s="7"/>
    </row>
    <row r="85" spans="1:9" ht="13.5" thickBot="1" x14ac:dyDescent="0.25">
      <c r="A85" s="6"/>
      <c r="I85" s="7"/>
    </row>
    <row r="86" spans="1:9" ht="13.5" thickBot="1" x14ac:dyDescent="0.25">
      <c r="A86" s="6"/>
      <c r="C86" s="43" t="s">
        <v>348</v>
      </c>
      <c r="D86" s="88"/>
      <c r="F86" s="119" t="s">
        <v>95</v>
      </c>
      <c r="G86" s="131" t="str">
        <f>Curr_1</f>
        <v>USD</v>
      </c>
      <c r="H86" s="132" t="str">
        <f>Curr_2</f>
        <v>EUR</v>
      </c>
      <c r="I86" s="7"/>
    </row>
    <row r="87" spans="1:9" ht="13.5" thickBot="1" x14ac:dyDescent="0.25">
      <c r="A87" s="6"/>
      <c r="F87" s="122" t="s">
        <v>78</v>
      </c>
      <c r="G87" s="47">
        <f>(G96)</f>
        <v>0</v>
      </c>
      <c r="H87" s="48">
        <f>(H96)</f>
        <v>0</v>
      </c>
      <c r="I87" s="7"/>
    </row>
    <row r="88" spans="1:9" x14ac:dyDescent="0.2">
      <c r="A88" s="6"/>
      <c r="C88" s="88" t="s">
        <v>42</v>
      </c>
      <c r="D88" s="88"/>
      <c r="E88" s="116" t="str">
        <f>Curr_2</f>
        <v>EUR</v>
      </c>
      <c r="G88" s="45"/>
      <c r="H88" s="45"/>
      <c r="I88" s="7"/>
    </row>
    <row r="89" spans="1:9" x14ac:dyDescent="0.2">
      <c r="A89" s="6"/>
      <c r="C89" s="88" t="s">
        <v>43</v>
      </c>
      <c r="D89" s="88"/>
      <c r="E89" s="117">
        <f>Curr_Conv</f>
        <v>1.8640000000000001</v>
      </c>
      <c r="G89" s="45"/>
      <c r="H89" s="45"/>
      <c r="I89" s="7"/>
    </row>
    <row r="90" spans="1:9" ht="13.5" thickBot="1" x14ac:dyDescent="0.25">
      <c r="A90" s="6"/>
      <c r="I90" s="7"/>
    </row>
    <row r="91" spans="1:9" x14ac:dyDescent="0.2">
      <c r="A91" s="6"/>
      <c r="C91" s="123" t="s">
        <v>1</v>
      </c>
      <c r="D91" s="389" t="s">
        <v>156</v>
      </c>
      <c r="E91" s="124" t="s">
        <v>38</v>
      </c>
      <c r="F91" s="124" t="s">
        <v>39</v>
      </c>
      <c r="G91" s="124" t="s">
        <v>41</v>
      </c>
      <c r="H91" s="184" t="s">
        <v>41</v>
      </c>
      <c r="I91" s="7"/>
    </row>
    <row r="92" spans="1:9" ht="13.5" thickBot="1" x14ac:dyDescent="0.25">
      <c r="A92" s="6"/>
      <c r="C92" s="14"/>
      <c r="D92" s="386"/>
      <c r="E92" s="125"/>
      <c r="F92" s="125" t="s">
        <v>40</v>
      </c>
      <c r="G92" s="125" t="str">
        <f>Curr_1</f>
        <v>USD</v>
      </c>
      <c r="H92" s="185" t="str">
        <f>Curr_2</f>
        <v>EUR</v>
      </c>
      <c r="I92" s="7"/>
    </row>
    <row r="93" spans="1:9" ht="14.25" x14ac:dyDescent="0.2">
      <c r="A93" s="6"/>
      <c r="C93" s="49" t="s">
        <v>336</v>
      </c>
      <c r="D93" s="399" t="str">
        <f>unit_area</f>
        <v>sqrm</v>
      </c>
      <c r="E93" s="411">
        <v>3</v>
      </c>
      <c r="F93" s="401"/>
      <c r="G93" s="161">
        <f>(F93*E93)</f>
        <v>0</v>
      </c>
      <c r="H93" s="162">
        <f>(G93/$E$89)</f>
        <v>0</v>
      </c>
      <c r="I93" s="7"/>
    </row>
    <row r="94" spans="1:9" x14ac:dyDescent="0.2">
      <c r="A94" s="6"/>
      <c r="C94" s="5" t="s">
        <v>340</v>
      </c>
      <c r="D94" s="399" t="str">
        <f>unit_number</f>
        <v>each</v>
      </c>
      <c r="E94" s="422"/>
      <c r="F94" s="423"/>
      <c r="G94" s="161">
        <f>(F94*E94)</f>
        <v>0</v>
      </c>
      <c r="H94" s="162">
        <f>(G94/$E$89)</f>
        <v>0</v>
      </c>
      <c r="I94" s="7"/>
    </row>
    <row r="95" spans="1:9" ht="13.5" thickBot="1" x14ac:dyDescent="0.25">
      <c r="A95" s="6"/>
      <c r="C95" s="49" t="s">
        <v>111</v>
      </c>
      <c r="D95" s="400" t="str">
        <f>unit_number</f>
        <v>each</v>
      </c>
      <c r="E95" s="408"/>
      <c r="F95" s="371"/>
      <c r="G95" s="112">
        <f>(F95*E95)</f>
        <v>0</v>
      </c>
      <c r="H95" s="162">
        <f>(G95/$E$89)</f>
        <v>0</v>
      </c>
      <c r="I95" s="7"/>
    </row>
    <row r="96" spans="1:9" ht="13.5" thickBot="1" x14ac:dyDescent="0.25">
      <c r="A96" s="6"/>
      <c r="C96" s="16" t="s">
        <v>78</v>
      </c>
      <c r="D96" s="387"/>
      <c r="E96" s="140"/>
      <c r="F96" s="129"/>
      <c r="G96" s="129">
        <f>SUM(G93:G95)</f>
        <v>0</v>
      </c>
      <c r="H96" s="130">
        <f>SUM(H93:H95)</f>
        <v>0</v>
      </c>
      <c r="I96" s="7"/>
    </row>
    <row r="97" spans="1:9" x14ac:dyDescent="0.2">
      <c r="A97" s="6"/>
      <c r="I97" s="7"/>
    </row>
    <row r="98" spans="1:9" x14ac:dyDescent="0.2">
      <c r="A98" s="6"/>
      <c r="I98" s="7"/>
    </row>
    <row r="99" spans="1:9" ht="13.5" thickBot="1" x14ac:dyDescent="0.25">
      <c r="A99" s="6"/>
      <c r="I99" s="7"/>
    </row>
    <row r="100" spans="1:9" ht="13.5" thickBot="1" x14ac:dyDescent="0.25">
      <c r="A100" s="6"/>
      <c r="C100" s="43" t="s">
        <v>350</v>
      </c>
      <c r="D100" s="88"/>
      <c r="F100" s="119" t="s">
        <v>95</v>
      </c>
      <c r="G100" s="131" t="str">
        <f>Curr_1</f>
        <v>USD</v>
      </c>
      <c r="H100" s="132" t="str">
        <f>Curr_2</f>
        <v>EUR</v>
      </c>
      <c r="I100" s="7"/>
    </row>
    <row r="101" spans="1:9" ht="13.5" thickBot="1" x14ac:dyDescent="0.25">
      <c r="A101" s="6"/>
      <c r="F101" s="122" t="s">
        <v>78</v>
      </c>
      <c r="G101" s="47">
        <f>(G110)</f>
        <v>0</v>
      </c>
      <c r="H101" s="48">
        <f>(H110)</f>
        <v>0</v>
      </c>
      <c r="I101" s="7"/>
    </row>
    <row r="102" spans="1:9" x14ac:dyDescent="0.2">
      <c r="A102" s="6"/>
      <c r="C102" s="88" t="s">
        <v>42</v>
      </c>
      <c r="D102" s="88"/>
      <c r="E102" s="116" t="str">
        <f>Curr_2</f>
        <v>EUR</v>
      </c>
      <c r="G102" s="45"/>
      <c r="H102" s="45"/>
      <c r="I102" s="7"/>
    </row>
    <row r="103" spans="1:9" x14ac:dyDescent="0.2">
      <c r="A103" s="6"/>
      <c r="C103" s="88" t="s">
        <v>43</v>
      </c>
      <c r="D103" s="88"/>
      <c r="E103" s="117">
        <f>Curr_Conv</f>
        <v>1.8640000000000001</v>
      </c>
      <c r="G103" s="45"/>
      <c r="H103" s="45"/>
      <c r="I103" s="7"/>
    </row>
    <row r="104" spans="1:9" ht="13.5" thickBot="1" x14ac:dyDescent="0.25">
      <c r="A104" s="6"/>
      <c r="I104" s="7"/>
    </row>
    <row r="105" spans="1:9" x14ac:dyDescent="0.2">
      <c r="A105" s="6"/>
      <c r="C105" s="123" t="s">
        <v>1</v>
      </c>
      <c r="D105" s="389" t="s">
        <v>156</v>
      </c>
      <c r="E105" s="124" t="s">
        <v>38</v>
      </c>
      <c r="F105" s="124" t="s">
        <v>39</v>
      </c>
      <c r="G105" s="124" t="s">
        <v>41</v>
      </c>
      <c r="H105" s="184" t="s">
        <v>41</v>
      </c>
      <c r="I105" s="7"/>
    </row>
    <row r="106" spans="1:9" ht="13.5" thickBot="1" x14ac:dyDescent="0.25">
      <c r="A106" s="6"/>
      <c r="C106" s="14"/>
      <c r="D106" s="386"/>
      <c r="E106" s="125"/>
      <c r="F106" s="125" t="s">
        <v>40</v>
      </c>
      <c r="G106" s="125" t="str">
        <f>Curr_1</f>
        <v>USD</v>
      </c>
      <c r="H106" s="185" t="str">
        <f>Curr_2</f>
        <v>EUR</v>
      </c>
      <c r="I106" s="7"/>
    </row>
    <row r="107" spans="1:9" ht="14.25" x14ac:dyDescent="0.2">
      <c r="A107" s="6"/>
      <c r="C107" s="49" t="s">
        <v>336</v>
      </c>
      <c r="D107" s="399" t="str">
        <f>unit_area</f>
        <v>sqrm</v>
      </c>
      <c r="E107" s="411">
        <v>4</v>
      </c>
      <c r="F107" s="401"/>
      <c r="G107" s="161">
        <f>(F107*E107)</f>
        <v>0</v>
      </c>
      <c r="H107" s="162">
        <f>(G107/$E$103)</f>
        <v>0</v>
      </c>
      <c r="I107" s="7"/>
    </row>
    <row r="108" spans="1:9" x14ac:dyDescent="0.2">
      <c r="A108" s="6"/>
      <c r="C108" s="5" t="s">
        <v>337</v>
      </c>
      <c r="D108" s="399" t="str">
        <f>unit_number</f>
        <v>each</v>
      </c>
      <c r="E108" s="422"/>
      <c r="F108" s="423"/>
      <c r="G108" s="161">
        <f>(F108*E108)</f>
        <v>0</v>
      </c>
      <c r="H108" s="162">
        <f>(G108/$E$103)</f>
        <v>0</v>
      </c>
      <c r="I108" s="7"/>
    </row>
    <row r="109" spans="1:9" ht="13.5" thickBot="1" x14ac:dyDescent="0.25">
      <c r="A109" s="6"/>
      <c r="C109" s="49" t="s">
        <v>111</v>
      </c>
      <c r="D109" s="400" t="str">
        <f>unit_number</f>
        <v>each</v>
      </c>
      <c r="E109" s="408"/>
      <c r="F109" s="371"/>
      <c r="G109" s="112">
        <f>(F109*E109)</f>
        <v>0</v>
      </c>
      <c r="H109" s="162">
        <f>(G109/$E$103)</f>
        <v>0</v>
      </c>
      <c r="I109" s="7"/>
    </row>
    <row r="110" spans="1:9" ht="13.5" thickBot="1" x14ac:dyDescent="0.25">
      <c r="A110" s="6"/>
      <c r="C110" s="16" t="s">
        <v>78</v>
      </c>
      <c r="D110" s="387"/>
      <c r="E110" s="140"/>
      <c r="F110" s="129"/>
      <c r="G110" s="129">
        <f>SUM(G107:G109)</f>
        <v>0</v>
      </c>
      <c r="H110" s="130">
        <f>SUM(H107:H109)</f>
        <v>0</v>
      </c>
      <c r="I110" s="7"/>
    </row>
    <row r="111" spans="1:9" x14ac:dyDescent="0.2">
      <c r="A111" s="6"/>
      <c r="I111" s="7"/>
    </row>
    <row r="112" spans="1:9" x14ac:dyDescent="0.2">
      <c r="A112" s="6"/>
      <c r="I112" s="7"/>
    </row>
    <row r="113" spans="1:9" ht="13.5" thickBot="1" x14ac:dyDescent="0.25">
      <c r="A113" s="6"/>
      <c r="I113" s="7"/>
    </row>
    <row r="114" spans="1:9" ht="13.5" thickBot="1" x14ac:dyDescent="0.25">
      <c r="A114" s="6"/>
      <c r="C114" s="43" t="s">
        <v>351</v>
      </c>
      <c r="D114" s="88"/>
      <c r="F114" s="119" t="s">
        <v>95</v>
      </c>
      <c r="G114" s="131" t="str">
        <f>Curr_1</f>
        <v>USD</v>
      </c>
      <c r="H114" s="132" t="str">
        <f>Curr_2</f>
        <v>EUR</v>
      </c>
      <c r="I114" s="7"/>
    </row>
    <row r="115" spans="1:9" ht="13.5" thickBot="1" x14ac:dyDescent="0.25">
      <c r="A115" s="6"/>
      <c r="F115" s="122" t="s">
        <v>78</v>
      </c>
      <c r="G115" s="47">
        <f>(G124)</f>
        <v>0</v>
      </c>
      <c r="H115" s="48">
        <f>(H124)</f>
        <v>0</v>
      </c>
      <c r="I115" s="7"/>
    </row>
    <row r="116" spans="1:9" x14ac:dyDescent="0.2">
      <c r="A116" s="6"/>
      <c r="C116" s="88" t="s">
        <v>42</v>
      </c>
      <c r="D116" s="88"/>
      <c r="E116" s="116" t="str">
        <f>Curr_2</f>
        <v>EUR</v>
      </c>
      <c r="G116" s="45"/>
      <c r="H116" s="45"/>
      <c r="I116" s="7"/>
    </row>
    <row r="117" spans="1:9" x14ac:dyDescent="0.2">
      <c r="A117" s="6"/>
      <c r="C117" s="88" t="s">
        <v>43</v>
      </c>
      <c r="D117" s="88"/>
      <c r="E117" s="117">
        <f>Curr_Conv</f>
        <v>1.8640000000000001</v>
      </c>
      <c r="G117" s="45"/>
      <c r="H117" s="45"/>
      <c r="I117" s="7"/>
    </row>
    <row r="118" spans="1:9" ht="13.5" thickBot="1" x14ac:dyDescent="0.25">
      <c r="A118" s="6"/>
      <c r="I118" s="7"/>
    </row>
    <row r="119" spans="1:9" x14ac:dyDescent="0.2">
      <c r="A119" s="6"/>
      <c r="C119" s="123" t="s">
        <v>1</v>
      </c>
      <c r="D119" s="389" t="s">
        <v>156</v>
      </c>
      <c r="E119" s="124" t="s">
        <v>38</v>
      </c>
      <c r="F119" s="124" t="s">
        <v>39</v>
      </c>
      <c r="G119" s="124" t="s">
        <v>41</v>
      </c>
      <c r="H119" s="184" t="s">
        <v>41</v>
      </c>
      <c r="I119" s="7"/>
    </row>
    <row r="120" spans="1:9" ht="13.5" thickBot="1" x14ac:dyDescent="0.25">
      <c r="A120" s="6"/>
      <c r="C120" s="14"/>
      <c r="D120" s="386"/>
      <c r="E120" s="125"/>
      <c r="F120" s="125" t="s">
        <v>40</v>
      </c>
      <c r="G120" s="125" t="str">
        <f>Curr_1</f>
        <v>USD</v>
      </c>
      <c r="H120" s="185" t="str">
        <f>Curr_2</f>
        <v>EUR</v>
      </c>
      <c r="I120" s="7"/>
    </row>
    <row r="121" spans="1:9" ht="14.25" x14ac:dyDescent="0.2">
      <c r="A121" s="6"/>
      <c r="C121" s="49" t="s">
        <v>336</v>
      </c>
      <c r="D121" s="399" t="str">
        <f>unit_area</f>
        <v>sqrm</v>
      </c>
      <c r="E121" s="411">
        <v>8</v>
      </c>
      <c r="F121" s="401"/>
      <c r="G121" s="161">
        <f>(F121*E121)</f>
        <v>0</v>
      </c>
      <c r="H121" s="162">
        <f>(G121/$E$117)</f>
        <v>0</v>
      </c>
      <c r="I121" s="7"/>
    </row>
    <row r="122" spans="1:9" x14ac:dyDescent="0.2">
      <c r="A122" s="6"/>
      <c r="C122" s="5" t="s">
        <v>352</v>
      </c>
      <c r="D122" s="399" t="str">
        <f>unit_number</f>
        <v>each</v>
      </c>
      <c r="E122" s="422"/>
      <c r="F122" s="423"/>
      <c r="G122" s="161">
        <f>(F122*E122)</f>
        <v>0</v>
      </c>
      <c r="H122" s="162">
        <f>(G122/$E$117)</f>
        <v>0</v>
      </c>
      <c r="I122" s="7"/>
    </row>
    <row r="123" spans="1:9" ht="13.5" thickBot="1" x14ac:dyDescent="0.25">
      <c r="A123" s="6"/>
      <c r="C123" s="49" t="s">
        <v>111</v>
      </c>
      <c r="D123" s="400" t="str">
        <f>unit_number</f>
        <v>each</v>
      </c>
      <c r="E123" s="408"/>
      <c r="F123" s="371"/>
      <c r="G123" s="112">
        <f>(F123*E123)</f>
        <v>0</v>
      </c>
      <c r="H123" s="162">
        <f>(G123/$E$117)</f>
        <v>0</v>
      </c>
      <c r="I123" s="7"/>
    </row>
    <row r="124" spans="1:9" ht="13.5" thickBot="1" x14ac:dyDescent="0.25">
      <c r="A124" s="6"/>
      <c r="C124" s="16" t="s">
        <v>78</v>
      </c>
      <c r="D124" s="387"/>
      <c r="E124" s="140"/>
      <c r="F124" s="129"/>
      <c r="G124" s="129">
        <f>SUM(G121:G123)</f>
        <v>0</v>
      </c>
      <c r="H124" s="130">
        <f>SUM(H121:H123)</f>
        <v>0</v>
      </c>
      <c r="I124" s="7"/>
    </row>
    <row r="125" spans="1:9" ht="13.5" thickBot="1" x14ac:dyDescent="0.25">
      <c r="A125" s="26"/>
      <c r="B125" s="27"/>
      <c r="C125" s="27"/>
      <c r="D125" s="27"/>
      <c r="E125" s="27"/>
      <c r="F125" s="27"/>
      <c r="G125" s="27"/>
      <c r="H125" s="27"/>
      <c r="I125" s="8"/>
    </row>
  </sheetData>
  <mergeCells count="1">
    <mergeCell ref="K1:Q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41"/>
  <sheetViews>
    <sheetView workbookViewId="0">
      <selection activeCell="D29" sqref="D29"/>
    </sheetView>
  </sheetViews>
  <sheetFormatPr defaultRowHeight="12.75" x14ac:dyDescent="0.2"/>
  <cols>
    <col min="1" max="1" width="1" customWidth="1"/>
    <col min="2" max="2" width="1.5703125" customWidth="1"/>
    <col min="3" max="3" width="34.140625" customWidth="1"/>
    <col min="4" max="4" width="9.5703125" customWidth="1"/>
    <col min="5" max="5" width="5.7109375" customWidth="1"/>
    <col min="6" max="8" width="11.7109375" customWidth="1"/>
    <col min="9" max="9" width="3.7109375" customWidth="1"/>
    <col min="11" max="11" width="21.7109375" customWidth="1"/>
  </cols>
  <sheetData>
    <row r="1" spans="1:11" x14ac:dyDescent="0.2">
      <c r="A1" s="21"/>
      <c r="B1" s="22"/>
      <c r="C1" s="22"/>
      <c r="D1" s="22"/>
      <c r="E1" s="22"/>
      <c r="F1" s="22"/>
      <c r="G1" s="22"/>
      <c r="H1" s="22"/>
      <c r="I1" s="23"/>
      <c r="K1" s="352" t="str">
        <f>"COSTING DATA "&amp;Curr_1</f>
        <v>COSTING DATA USD</v>
      </c>
    </row>
    <row r="2" spans="1:11" x14ac:dyDescent="0.2">
      <c r="A2" s="6"/>
      <c r="B2" s="24" t="s">
        <v>144</v>
      </c>
      <c r="C2" s="25"/>
      <c r="D2" s="25"/>
      <c r="E2" s="25"/>
      <c r="F2" s="25"/>
      <c r="G2" s="142"/>
      <c r="H2" s="44" t="s">
        <v>377</v>
      </c>
      <c r="I2" s="178"/>
      <c r="K2" s="66" t="str">
        <f>+C4</f>
        <v>SMALL EQUIPMENT</v>
      </c>
    </row>
    <row r="3" spans="1:11" ht="13.5" thickBot="1" x14ac:dyDescent="0.25">
      <c r="A3" s="6"/>
      <c r="G3" s="45"/>
      <c r="H3" s="45"/>
      <c r="I3" s="7"/>
      <c r="K3" s="351">
        <f>(G5)</f>
        <v>190400</v>
      </c>
    </row>
    <row r="4" spans="1:11" ht="13.5" thickBot="1" x14ac:dyDescent="0.25">
      <c r="A4" s="6"/>
      <c r="C4" s="43" t="s">
        <v>149</v>
      </c>
      <c r="D4" s="88"/>
      <c r="F4" s="119" t="s">
        <v>95</v>
      </c>
      <c r="G4" s="131" t="str">
        <f>Curr_1</f>
        <v>USD</v>
      </c>
      <c r="H4" s="132" t="str">
        <f>Curr_2</f>
        <v>EUR</v>
      </c>
      <c r="I4" s="7"/>
    </row>
    <row r="5" spans="1:11" ht="13.5" thickBot="1" x14ac:dyDescent="0.25">
      <c r="A5" s="6"/>
      <c r="F5" s="122" t="s">
        <v>78</v>
      </c>
      <c r="G5" s="349">
        <f>(G40)</f>
        <v>190400</v>
      </c>
      <c r="H5" s="350">
        <f>(H40)</f>
        <v>102145.92274678114</v>
      </c>
      <c r="I5" s="7"/>
    </row>
    <row r="6" spans="1:11" x14ac:dyDescent="0.2">
      <c r="A6" s="6"/>
      <c r="C6" s="88" t="s">
        <v>42</v>
      </c>
      <c r="D6" s="88"/>
      <c r="E6" s="116" t="str">
        <f>Curr_2</f>
        <v>EUR</v>
      </c>
      <c r="G6" s="45"/>
      <c r="H6" s="45"/>
      <c r="I6" s="7"/>
    </row>
    <row r="7" spans="1:11" x14ac:dyDescent="0.2">
      <c r="A7" s="6"/>
      <c r="C7" s="88" t="s">
        <v>43</v>
      </c>
      <c r="D7" s="88"/>
      <c r="E7" s="117">
        <f>Curr_Conv</f>
        <v>1.8640000000000001</v>
      </c>
      <c r="G7" s="45"/>
      <c r="H7" s="45"/>
      <c r="I7" s="7"/>
    </row>
    <row r="8" spans="1:11" ht="13.5" thickBot="1" x14ac:dyDescent="0.25">
      <c r="A8" s="6"/>
      <c r="I8" s="7"/>
    </row>
    <row r="9" spans="1:11" x14ac:dyDescent="0.2">
      <c r="A9" s="6"/>
      <c r="C9" s="123" t="s">
        <v>1</v>
      </c>
      <c r="D9" s="389" t="s">
        <v>156</v>
      </c>
      <c r="E9" s="124" t="s">
        <v>38</v>
      </c>
      <c r="F9" s="124" t="s">
        <v>39</v>
      </c>
      <c r="G9" s="131" t="s">
        <v>41</v>
      </c>
      <c r="H9" s="132" t="s">
        <v>41</v>
      </c>
      <c r="I9" s="7"/>
    </row>
    <row r="10" spans="1:11" ht="13.5" thickBot="1" x14ac:dyDescent="0.25">
      <c r="A10" s="6"/>
      <c r="C10" s="14"/>
      <c r="D10" s="386"/>
      <c r="E10" s="125"/>
      <c r="F10" s="125" t="s">
        <v>40</v>
      </c>
      <c r="G10" s="133" t="str">
        <f>Curr_1</f>
        <v>USD</v>
      </c>
      <c r="H10" s="134" t="str">
        <f>Curr_2</f>
        <v>EUR</v>
      </c>
      <c r="I10" s="7"/>
    </row>
    <row r="11" spans="1:11" x14ac:dyDescent="0.2">
      <c r="A11" s="6"/>
      <c r="C11" s="49" t="s">
        <v>145</v>
      </c>
      <c r="D11" s="388" t="str">
        <f t="shared" ref="D11:D39" si="0">unit_number</f>
        <v>each</v>
      </c>
      <c r="E11" s="424">
        <v>1</v>
      </c>
      <c r="F11" s="401">
        <v>10000</v>
      </c>
      <c r="G11" s="181">
        <f>(F11*E11)</f>
        <v>10000</v>
      </c>
      <c r="H11" s="182">
        <f>(G11/$E$7)</f>
        <v>5364.8068669527893</v>
      </c>
      <c r="I11" s="7"/>
    </row>
    <row r="12" spans="1:11" x14ac:dyDescent="0.2">
      <c r="A12" s="6"/>
      <c r="C12" s="5" t="s">
        <v>146</v>
      </c>
      <c r="D12" s="388" t="str">
        <f t="shared" si="0"/>
        <v>each</v>
      </c>
      <c r="E12" s="420">
        <v>1</v>
      </c>
      <c r="F12" s="369">
        <v>2400</v>
      </c>
      <c r="G12" s="111">
        <f t="shared" ref="G12:G17" si="1">(F12*E12)</f>
        <v>2400</v>
      </c>
      <c r="H12" s="166">
        <f t="shared" ref="H12:H39" si="2">(G12/$E$7)</f>
        <v>1287.5536480686694</v>
      </c>
      <c r="I12" s="7"/>
    </row>
    <row r="13" spans="1:11" x14ac:dyDescent="0.2">
      <c r="A13" s="6"/>
      <c r="C13" s="5" t="s">
        <v>259</v>
      </c>
      <c r="D13" s="388" t="str">
        <f t="shared" si="0"/>
        <v>each</v>
      </c>
      <c r="E13" s="420">
        <v>1</v>
      </c>
      <c r="F13" s="369">
        <v>4000</v>
      </c>
      <c r="G13" s="111">
        <f t="shared" si="1"/>
        <v>4000</v>
      </c>
      <c r="H13" s="166">
        <f t="shared" si="2"/>
        <v>2145.9227467811156</v>
      </c>
      <c r="I13" s="7"/>
    </row>
    <row r="14" spans="1:11" x14ac:dyDescent="0.2">
      <c r="A14" s="6"/>
      <c r="C14" s="5" t="s">
        <v>147</v>
      </c>
      <c r="D14" s="388" t="str">
        <f t="shared" si="0"/>
        <v>each</v>
      </c>
      <c r="E14" s="420">
        <v>1</v>
      </c>
      <c r="F14" s="369">
        <f>12000*3</f>
        <v>36000</v>
      </c>
      <c r="G14" s="111">
        <f t="shared" si="1"/>
        <v>36000</v>
      </c>
      <c r="H14" s="166">
        <f t="shared" si="2"/>
        <v>19313.304721030043</v>
      </c>
      <c r="I14" s="7"/>
    </row>
    <row r="15" spans="1:11" x14ac:dyDescent="0.2">
      <c r="A15" s="6"/>
      <c r="C15" s="5" t="s">
        <v>150</v>
      </c>
      <c r="D15" s="388" t="str">
        <f t="shared" si="0"/>
        <v>each</v>
      </c>
      <c r="E15" s="420">
        <v>1</v>
      </c>
      <c r="F15" s="369">
        <v>45000</v>
      </c>
      <c r="G15" s="111">
        <f t="shared" si="1"/>
        <v>45000</v>
      </c>
      <c r="H15" s="166">
        <f t="shared" si="2"/>
        <v>24141.630901287554</v>
      </c>
      <c r="I15" s="7"/>
    </row>
    <row r="16" spans="1:11" x14ac:dyDescent="0.2">
      <c r="A16" s="6"/>
      <c r="C16" s="5" t="s">
        <v>176</v>
      </c>
      <c r="D16" s="388" t="str">
        <f t="shared" si="0"/>
        <v>each</v>
      </c>
      <c r="E16" s="420">
        <v>1</v>
      </c>
      <c r="F16" s="369">
        <v>30000</v>
      </c>
      <c r="G16" s="111">
        <f>(F16*E16)</f>
        <v>30000</v>
      </c>
      <c r="H16" s="166">
        <f t="shared" si="2"/>
        <v>16094.420600858368</v>
      </c>
      <c r="I16" s="7"/>
    </row>
    <row r="17" spans="1:9" x14ac:dyDescent="0.2">
      <c r="A17" s="6"/>
      <c r="C17" s="5" t="s">
        <v>148</v>
      </c>
      <c r="D17" s="388" t="str">
        <f t="shared" si="0"/>
        <v>each</v>
      </c>
      <c r="E17" s="420">
        <v>1</v>
      </c>
      <c r="F17" s="369">
        <v>5000</v>
      </c>
      <c r="G17" s="111">
        <f t="shared" si="1"/>
        <v>5000</v>
      </c>
      <c r="H17" s="166">
        <f t="shared" si="2"/>
        <v>2682.4034334763946</v>
      </c>
      <c r="I17" s="7"/>
    </row>
    <row r="18" spans="1:9" x14ac:dyDescent="0.2">
      <c r="A18" s="6"/>
      <c r="C18" s="5" t="s">
        <v>356</v>
      </c>
      <c r="D18" s="388" t="str">
        <f t="shared" si="0"/>
        <v>each</v>
      </c>
      <c r="E18" s="420">
        <v>1</v>
      </c>
      <c r="F18" s="369">
        <v>8000</v>
      </c>
      <c r="G18" s="111">
        <f t="shared" ref="G18:G38" si="3">(F18*E18)</f>
        <v>8000</v>
      </c>
      <c r="H18" s="166">
        <f t="shared" si="2"/>
        <v>4291.8454935622312</v>
      </c>
      <c r="I18" s="7"/>
    </row>
    <row r="19" spans="1:9" x14ac:dyDescent="0.2">
      <c r="A19" s="6"/>
      <c r="C19" s="5" t="s">
        <v>357</v>
      </c>
      <c r="D19" s="388" t="str">
        <f t="shared" si="0"/>
        <v>each</v>
      </c>
      <c r="E19" s="420">
        <v>1</v>
      </c>
      <c r="F19" s="369">
        <v>15000</v>
      </c>
      <c r="G19" s="111">
        <f t="shared" si="3"/>
        <v>15000</v>
      </c>
      <c r="H19" s="166">
        <f t="shared" si="2"/>
        <v>8047.2103004291839</v>
      </c>
      <c r="I19" s="7"/>
    </row>
    <row r="20" spans="1:9" x14ac:dyDescent="0.2">
      <c r="A20" s="6"/>
      <c r="C20" s="5" t="s">
        <v>358</v>
      </c>
      <c r="D20" s="388" t="str">
        <f t="shared" si="0"/>
        <v>each</v>
      </c>
      <c r="E20" s="420">
        <v>1</v>
      </c>
      <c r="F20" s="369">
        <v>8000</v>
      </c>
      <c r="G20" s="111">
        <f t="shared" si="3"/>
        <v>8000</v>
      </c>
      <c r="H20" s="166">
        <f t="shared" si="2"/>
        <v>4291.8454935622312</v>
      </c>
      <c r="I20" s="7"/>
    </row>
    <row r="21" spans="1:9" x14ac:dyDescent="0.2">
      <c r="A21" s="6"/>
      <c r="C21" s="5" t="s">
        <v>359</v>
      </c>
      <c r="D21" s="388" t="str">
        <f t="shared" si="0"/>
        <v>each</v>
      </c>
      <c r="E21" s="420">
        <v>1</v>
      </c>
      <c r="F21" s="369"/>
      <c r="G21" s="111">
        <f t="shared" si="3"/>
        <v>0</v>
      </c>
      <c r="H21" s="166">
        <f t="shared" si="2"/>
        <v>0</v>
      </c>
      <c r="I21" s="7"/>
    </row>
    <row r="22" spans="1:9" x14ac:dyDescent="0.2">
      <c r="A22" s="6"/>
      <c r="C22" s="5" t="s">
        <v>360</v>
      </c>
      <c r="D22" s="388" t="str">
        <f t="shared" si="0"/>
        <v>each</v>
      </c>
      <c r="E22" s="420">
        <v>1</v>
      </c>
      <c r="F22" s="369"/>
      <c r="G22" s="111">
        <f t="shared" si="3"/>
        <v>0</v>
      </c>
      <c r="H22" s="166">
        <f t="shared" si="2"/>
        <v>0</v>
      </c>
      <c r="I22" s="7"/>
    </row>
    <row r="23" spans="1:9" x14ac:dyDescent="0.2">
      <c r="A23" s="6"/>
      <c r="C23" s="5" t="s">
        <v>361</v>
      </c>
      <c r="D23" s="388" t="str">
        <f t="shared" si="0"/>
        <v>each</v>
      </c>
      <c r="E23" s="420">
        <v>1</v>
      </c>
      <c r="F23" s="369"/>
      <c r="G23" s="111">
        <f t="shared" si="3"/>
        <v>0</v>
      </c>
      <c r="H23" s="166">
        <f t="shared" si="2"/>
        <v>0</v>
      </c>
      <c r="I23" s="7"/>
    </row>
    <row r="24" spans="1:9" x14ac:dyDescent="0.2">
      <c r="A24" s="6"/>
      <c r="C24" s="5" t="s">
        <v>362</v>
      </c>
      <c r="D24" s="388" t="str">
        <f t="shared" si="0"/>
        <v>each</v>
      </c>
      <c r="E24" s="420">
        <v>1</v>
      </c>
      <c r="F24" s="369">
        <v>2000</v>
      </c>
      <c r="G24" s="111">
        <f t="shared" si="3"/>
        <v>2000</v>
      </c>
      <c r="H24" s="166">
        <f t="shared" si="2"/>
        <v>1072.9613733905578</v>
      </c>
      <c r="I24" s="7"/>
    </row>
    <row r="25" spans="1:9" x14ac:dyDescent="0.2">
      <c r="A25" s="6"/>
      <c r="C25" s="5" t="s">
        <v>363</v>
      </c>
      <c r="D25" s="388" t="str">
        <f t="shared" si="0"/>
        <v>each</v>
      </c>
      <c r="E25" s="420">
        <v>1</v>
      </c>
      <c r="F25" s="369">
        <v>10000</v>
      </c>
      <c r="G25" s="111">
        <f t="shared" si="3"/>
        <v>10000</v>
      </c>
      <c r="H25" s="166">
        <f t="shared" si="2"/>
        <v>5364.8068669527893</v>
      </c>
      <c r="I25" s="7"/>
    </row>
    <row r="26" spans="1:9" x14ac:dyDescent="0.2">
      <c r="A26" s="6"/>
      <c r="C26" s="5" t="s">
        <v>364</v>
      </c>
      <c r="D26" s="388" t="str">
        <f t="shared" si="0"/>
        <v>each</v>
      </c>
      <c r="E26" s="420">
        <v>1</v>
      </c>
      <c r="F26" s="369">
        <v>1000</v>
      </c>
      <c r="G26" s="111">
        <f t="shared" si="3"/>
        <v>1000</v>
      </c>
      <c r="H26" s="166">
        <f t="shared" si="2"/>
        <v>536.48068669527891</v>
      </c>
      <c r="I26" s="7"/>
    </row>
    <row r="27" spans="1:9" x14ac:dyDescent="0.2">
      <c r="A27" s="6"/>
      <c r="C27" s="5" t="s">
        <v>365</v>
      </c>
      <c r="D27" s="388" t="str">
        <f t="shared" si="0"/>
        <v>each</v>
      </c>
      <c r="E27" s="420">
        <v>1</v>
      </c>
      <c r="F27" s="369">
        <v>500</v>
      </c>
      <c r="G27" s="111">
        <f t="shared" si="3"/>
        <v>500</v>
      </c>
      <c r="H27" s="166">
        <f t="shared" si="2"/>
        <v>268.24034334763945</v>
      </c>
      <c r="I27" s="7"/>
    </row>
    <row r="28" spans="1:9" x14ac:dyDescent="0.2">
      <c r="A28" s="6"/>
      <c r="C28" s="5" t="s">
        <v>366</v>
      </c>
      <c r="D28" s="388" t="str">
        <f t="shared" si="0"/>
        <v>each</v>
      </c>
      <c r="E28" s="420">
        <v>1</v>
      </c>
      <c r="F28" s="369">
        <v>500</v>
      </c>
      <c r="G28" s="111">
        <f t="shared" si="3"/>
        <v>500</v>
      </c>
      <c r="H28" s="166">
        <f t="shared" si="2"/>
        <v>268.24034334763945</v>
      </c>
      <c r="I28" s="7"/>
    </row>
    <row r="29" spans="1:9" x14ac:dyDescent="0.2">
      <c r="A29" s="6"/>
      <c r="C29" s="5" t="s">
        <v>367</v>
      </c>
      <c r="D29" s="388" t="str">
        <f t="shared" si="0"/>
        <v>each</v>
      </c>
      <c r="E29" s="420">
        <v>1</v>
      </c>
      <c r="F29" s="369">
        <v>1000</v>
      </c>
      <c r="G29" s="111">
        <f t="shared" si="3"/>
        <v>1000</v>
      </c>
      <c r="H29" s="166">
        <f t="shared" si="2"/>
        <v>536.48068669527891</v>
      </c>
      <c r="I29" s="7"/>
    </row>
    <row r="30" spans="1:9" x14ac:dyDescent="0.2">
      <c r="A30" s="6"/>
      <c r="C30" s="5" t="s">
        <v>368</v>
      </c>
      <c r="D30" s="388" t="str">
        <f t="shared" si="0"/>
        <v>each</v>
      </c>
      <c r="E30" s="420">
        <v>1</v>
      </c>
      <c r="F30" s="369">
        <v>1000</v>
      </c>
      <c r="G30" s="111">
        <f t="shared" si="3"/>
        <v>1000</v>
      </c>
      <c r="H30" s="166">
        <f t="shared" si="2"/>
        <v>536.48068669527891</v>
      </c>
      <c r="I30" s="7"/>
    </row>
    <row r="31" spans="1:9" x14ac:dyDescent="0.2">
      <c r="A31" s="6"/>
      <c r="C31" s="5" t="s">
        <v>369</v>
      </c>
      <c r="D31" s="388" t="str">
        <f t="shared" si="0"/>
        <v>each</v>
      </c>
      <c r="E31" s="420">
        <v>1</v>
      </c>
      <c r="F31" s="369">
        <v>1000</v>
      </c>
      <c r="G31" s="111">
        <f t="shared" si="3"/>
        <v>1000</v>
      </c>
      <c r="H31" s="166">
        <f t="shared" si="2"/>
        <v>536.48068669527891</v>
      </c>
      <c r="I31" s="7"/>
    </row>
    <row r="32" spans="1:9" x14ac:dyDescent="0.2">
      <c r="A32" s="6"/>
      <c r="C32" s="5" t="s">
        <v>370</v>
      </c>
      <c r="D32" s="388" t="str">
        <f t="shared" si="0"/>
        <v>each</v>
      </c>
      <c r="E32" s="420">
        <v>1</v>
      </c>
      <c r="F32" s="369"/>
      <c r="G32" s="111">
        <f t="shared" si="3"/>
        <v>0</v>
      </c>
      <c r="H32" s="166">
        <f t="shared" si="2"/>
        <v>0</v>
      </c>
      <c r="I32" s="7"/>
    </row>
    <row r="33" spans="1:9" x14ac:dyDescent="0.2">
      <c r="A33" s="6"/>
      <c r="C33" s="5" t="s">
        <v>371</v>
      </c>
      <c r="D33" s="388" t="str">
        <f t="shared" si="0"/>
        <v>each</v>
      </c>
      <c r="E33" s="420">
        <v>1</v>
      </c>
      <c r="F33" s="369"/>
      <c r="G33" s="111">
        <f t="shared" si="3"/>
        <v>0</v>
      </c>
      <c r="H33" s="166">
        <f t="shared" si="2"/>
        <v>0</v>
      </c>
      <c r="I33" s="7"/>
    </row>
    <row r="34" spans="1:9" x14ac:dyDescent="0.2">
      <c r="A34" s="6"/>
      <c r="C34" s="5" t="s">
        <v>372</v>
      </c>
      <c r="D34" s="388" t="str">
        <f t="shared" si="0"/>
        <v>each</v>
      </c>
      <c r="E34" s="420">
        <v>1</v>
      </c>
      <c r="F34" s="369"/>
      <c r="G34" s="111">
        <f t="shared" si="3"/>
        <v>0</v>
      </c>
      <c r="H34" s="166">
        <f t="shared" si="2"/>
        <v>0</v>
      </c>
      <c r="I34" s="7"/>
    </row>
    <row r="35" spans="1:9" x14ac:dyDescent="0.2">
      <c r="A35" s="6"/>
      <c r="C35" s="5" t="s">
        <v>373</v>
      </c>
      <c r="D35" s="388" t="str">
        <f t="shared" si="0"/>
        <v>each</v>
      </c>
      <c r="E35" s="420">
        <v>1</v>
      </c>
      <c r="F35" s="369"/>
      <c r="G35" s="111">
        <f t="shared" si="3"/>
        <v>0</v>
      </c>
      <c r="H35" s="166">
        <f t="shared" si="2"/>
        <v>0</v>
      </c>
      <c r="I35" s="7"/>
    </row>
    <row r="36" spans="1:9" x14ac:dyDescent="0.2">
      <c r="A36" s="6"/>
      <c r="C36" s="5" t="s">
        <v>374</v>
      </c>
      <c r="D36" s="388" t="str">
        <f t="shared" si="0"/>
        <v>each</v>
      </c>
      <c r="E36" s="420">
        <v>1</v>
      </c>
      <c r="F36" s="369"/>
      <c r="G36" s="111">
        <f t="shared" si="3"/>
        <v>0</v>
      </c>
      <c r="H36" s="166">
        <f t="shared" si="2"/>
        <v>0</v>
      </c>
      <c r="I36" s="7"/>
    </row>
    <row r="37" spans="1:9" x14ac:dyDescent="0.2">
      <c r="A37" s="6"/>
      <c r="C37" s="5" t="s">
        <v>375</v>
      </c>
      <c r="D37" s="388" t="str">
        <f t="shared" si="0"/>
        <v>each</v>
      </c>
      <c r="E37" s="420">
        <v>1</v>
      </c>
      <c r="F37" s="369"/>
      <c r="G37" s="111">
        <f t="shared" si="3"/>
        <v>0</v>
      </c>
      <c r="H37" s="166">
        <f t="shared" si="2"/>
        <v>0</v>
      </c>
      <c r="I37" s="7"/>
    </row>
    <row r="38" spans="1:9" x14ac:dyDescent="0.2">
      <c r="A38" s="6"/>
      <c r="C38" s="5" t="s">
        <v>376</v>
      </c>
      <c r="D38" s="388" t="str">
        <f t="shared" si="0"/>
        <v>each</v>
      </c>
      <c r="E38" s="420">
        <v>1</v>
      </c>
      <c r="F38" s="369"/>
      <c r="G38" s="111">
        <f t="shared" si="3"/>
        <v>0</v>
      </c>
      <c r="H38" s="166">
        <f t="shared" si="2"/>
        <v>0</v>
      </c>
      <c r="I38" s="7"/>
    </row>
    <row r="39" spans="1:9" ht="13.5" thickBot="1" x14ac:dyDescent="0.25">
      <c r="A39" s="6"/>
      <c r="C39" s="9" t="s">
        <v>111</v>
      </c>
      <c r="D39" s="388" t="str">
        <f t="shared" si="0"/>
        <v>each</v>
      </c>
      <c r="E39" s="421">
        <v>1</v>
      </c>
      <c r="F39" s="371">
        <v>10000</v>
      </c>
      <c r="G39" s="112">
        <f>(F39*E39)</f>
        <v>10000</v>
      </c>
      <c r="H39" s="167">
        <f t="shared" si="2"/>
        <v>5364.8068669527893</v>
      </c>
      <c r="I39" s="7"/>
    </row>
    <row r="40" spans="1:9" ht="13.5" thickBot="1" x14ac:dyDescent="0.25">
      <c r="A40" s="6"/>
      <c r="C40" s="16" t="s">
        <v>78</v>
      </c>
      <c r="D40" s="387"/>
      <c r="E40" s="177"/>
      <c r="F40" s="164"/>
      <c r="G40" s="164">
        <f>SUM(G11:G39)</f>
        <v>190400</v>
      </c>
      <c r="H40" s="164">
        <f>SUM(H11:H39)</f>
        <v>102145.92274678114</v>
      </c>
      <c r="I40" s="7"/>
    </row>
    <row r="41" spans="1:9" ht="13.5" thickBot="1" x14ac:dyDescent="0.25">
      <c r="A41" s="26"/>
      <c r="B41" s="27"/>
      <c r="C41" s="27"/>
      <c r="D41" s="27"/>
      <c r="E41" s="27"/>
      <c r="F41" s="27"/>
      <c r="G41" s="27"/>
      <c r="H41" s="27"/>
      <c r="I41" s="8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R85"/>
  <sheetViews>
    <sheetView workbookViewId="0">
      <selection activeCell="G19" sqref="G19"/>
    </sheetView>
  </sheetViews>
  <sheetFormatPr defaultRowHeight="12.75" x14ac:dyDescent="0.2"/>
  <cols>
    <col min="1" max="1" width="1" customWidth="1"/>
    <col min="2" max="2" width="1.7109375" customWidth="1"/>
    <col min="3" max="3" width="32.28515625" customWidth="1"/>
    <col min="4" max="4" width="8.7109375" customWidth="1"/>
    <col min="5" max="5" width="11.7109375" style="80" customWidth="1"/>
    <col min="6" max="6" width="13.85546875" style="80" customWidth="1"/>
    <col min="7" max="7" width="11.7109375" style="86" customWidth="1"/>
    <col min="8" max="8" width="11.85546875" style="86" customWidth="1"/>
    <col min="9" max="9" width="12.7109375" customWidth="1"/>
    <col min="10" max="10" width="3.140625" customWidth="1"/>
    <col min="11" max="11" width="16" customWidth="1"/>
    <col min="12" max="12" width="10.28515625" bestFit="1" customWidth="1"/>
    <col min="13" max="18" width="9.28515625" bestFit="1" customWidth="1"/>
  </cols>
  <sheetData>
    <row r="1" spans="1:18" x14ac:dyDescent="0.2">
      <c r="A1" s="21"/>
      <c r="B1" s="22"/>
      <c r="C1" s="22"/>
      <c r="D1" s="22"/>
      <c r="E1" s="213"/>
      <c r="F1" s="213"/>
      <c r="G1" s="214"/>
      <c r="H1" s="214"/>
      <c r="I1" s="22"/>
      <c r="J1" s="22"/>
      <c r="K1" s="505" t="str">
        <f>"COSTING DATA "&amp;Curr_1</f>
        <v>COSTING DATA USD</v>
      </c>
      <c r="L1" s="506"/>
      <c r="M1" s="506"/>
      <c r="N1" s="506"/>
      <c r="O1" s="506"/>
      <c r="P1" s="506"/>
      <c r="Q1" s="506"/>
      <c r="R1" s="507"/>
    </row>
    <row r="2" spans="1:18" x14ac:dyDescent="0.2">
      <c r="A2" s="6"/>
      <c r="B2" s="24" t="s">
        <v>152</v>
      </c>
      <c r="C2" s="25"/>
      <c r="D2" s="25"/>
      <c r="E2" s="87"/>
      <c r="F2" s="87"/>
      <c r="G2" s="215"/>
      <c r="H2" s="96" t="s">
        <v>383</v>
      </c>
      <c r="I2" s="215"/>
      <c r="J2" s="7"/>
      <c r="K2" s="81" t="s">
        <v>268</v>
      </c>
      <c r="L2" s="2" t="s">
        <v>240</v>
      </c>
      <c r="M2" s="2" t="s">
        <v>241</v>
      </c>
      <c r="N2" s="2" t="s">
        <v>269</v>
      </c>
      <c r="O2" s="2" t="s">
        <v>243</v>
      </c>
      <c r="P2" s="2" t="s">
        <v>244</v>
      </c>
      <c r="Q2" s="2" t="s">
        <v>271</v>
      </c>
      <c r="R2" s="2" t="s">
        <v>241</v>
      </c>
    </row>
    <row r="3" spans="1:18" ht="13.5" thickBot="1" x14ac:dyDescent="0.25">
      <c r="A3" s="6"/>
      <c r="J3" s="7"/>
      <c r="K3" s="353">
        <f>(F5)</f>
        <v>1025650</v>
      </c>
      <c r="L3" s="351">
        <f>(H67)</f>
        <v>25000</v>
      </c>
      <c r="M3" s="351">
        <f>(H68)</f>
        <v>0</v>
      </c>
      <c r="N3" s="351">
        <f>(H69)</f>
        <v>0</v>
      </c>
      <c r="O3" s="351">
        <f>(H70)</f>
        <v>0</v>
      </c>
      <c r="P3" s="351">
        <f>(H71)</f>
        <v>0</v>
      </c>
      <c r="Q3" s="351">
        <f>(H82)</f>
        <v>0</v>
      </c>
      <c r="R3" s="351">
        <f>(H83)</f>
        <v>0</v>
      </c>
    </row>
    <row r="4" spans="1:18" ht="13.5" thickBot="1" x14ac:dyDescent="0.25">
      <c r="A4" s="6"/>
      <c r="C4" s="43" t="s">
        <v>151</v>
      </c>
      <c r="D4" s="1"/>
      <c r="E4" s="364" t="s">
        <v>95</v>
      </c>
      <c r="F4" s="365" t="str">
        <f>Curr_2</f>
        <v>EUR</v>
      </c>
      <c r="G4" s="366" t="str">
        <f>Curr_2</f>
        <v>EUR</v>
      </c>
      <c r="J4" s="7"/>
    </row>
    <row r="5" spans="1:18" ht="13.5" thickBot="1" x14ac:dyDescent="0.25">
      <c r="A5" s="6"/>
      <c r="C5" s="1"/>
      <c r="D5" s="1"/>
      <c r="E5" s="122" t="s">
        <v>78</v>
      </c>
      <c r="F5" s="349">
        <f>(G57)</f>
        <v>1025650</v>
      </c>
      <c r="G5" s="350">
        <f>(H57)</f>
        <v>550241.4163090128</v>
      </c>
      <c r="J5" s="7"/>
    </row>
    <row r="6" spans="1:18" x14ac:dyDescent="0.2">
      <c r="A6" s="6"/>
      <c r="C6" s="88" t="s">
        <v>42</v>
      </c>
      <c r="D6" s="116" t="str">
        <f>Curr_2</f>
        <v>EUR</v>
      </c>
      <c r="J6" s="7"/>
    </row>
    <row r="7" spans="1:18" x14ac:dyDescent="0.2">
      <c r="A7" s="6"/>
      <c r="C7" s="88" t="s">
        <v>43</v>
      </c>
      <c r="D7" s="117">
        <f>Curr_Conv</f>
        <v>1.8640000000000001</v>
      </c>
      <c r="J7" s="7"/>
    </row>
    <row r="8" spans="1:18" ht="13.5" thickBot="1" x14ac:dyDescent="0.25">
      <c r="A8" s="6"/>
      <c r="J8" s="7"/>
    </row>
    <row r="9" spans="1:18" x14ac:dyDescent="0.2">
      <c r="A9" s="6"/>
      <c r="C9" s="186" t="s">
        <v>153</v>
      </c>
      <c r="D9" s="187" t="s">
        <v>39</v>
      </c>
      <c r="E9" s="187" t="s">
        <v>154</v>
      </c>
      <c r="F9" s="187" t="s">
        <v>40</v>
      </c>
      <c r="G9" s="188" t="s">
        <v>41</v>
      </c>
      <c r="H9" s="189" t="s">
        <v>41</v>
      </c>
      <c r="J9" s="7"/>
    </row>
    <row r="10" spans="1:18" x14ac:dyDescent="0.2">
      <c r="A10" s="6"/>
      <c r="C10" s="190"/>
      <c r="D10" s="191"/>
      <c r="E10" s="191" t="s">
        <v>155</v>
      </c>
      <c r="F10" s="191" t="s">
        <v>157</v>
      </c>
      <c r="G10" s="192" t="str">
        <f>Curr_1</f>
        <v>USD</v>
      </c>
      <c r="H10" s="193" t="str">
        <f>Curr_2</f>
        <v>EUR</v>
      </c>
      <c r="J10" s="7"/>
    </row>
    <row r="11" spans="1:18" ht="13.5" thickBot="1" x14ac:dyDescent="0.25">
      <c r="A11" s="6"/>
      <c r="C11" s="194"/>
      <c r="D11" s="195"/>
      <c r="E11" s="195" t="s">
        <v>156</v>
      </c>
      <c r="F11" s="195" t="s">
        <v>39</v>
      </c>
      <c r="G11" s="196"/>
      <c r="H11" s="197"/>
      <c r="J11" s="7"/>
    </row>
    <row r="12" spans="1:18" x14ac:dyDescent="0.2">
      <c r="A12" s="6"/>
      <c r="C12" s="35" t="s">
        <v>158</v>
      </c>
      <c r="D12" s="438"/>
      <c r="E12" s="426"/>
      <c r="F12" s="181"/>
      <c r="G12" s="199"/>
      <c r="H12" s="182"/>
      <c r="J12" s="7"/>
    </row>
    <row r="13" spans="1:18" x14ac:dyDescent="0.2">
      <c r="A13" s="6"/>
      <c r="C13" s="82" t="s">
        <v>159</v>
      </c>
      <c r="D13" s="425" t="str">
        <f t="shared" ref="D13:D18" si="0">unit_vol_material</f>
        <v>m3</v>
      </c>
      <c r="E13" s="426"/>
      <c r="F13" s="181"/>
      <c r="G13" s="199">
        <f>(F13*E13)</f>
        <v>0</v>
      </c>
      <c r="H13" s="182">
        <f t="shared" ref="H13:H29" si="1">(G13/$D$7)</f>
        <v>0</v>
      </c>
      <c r="J13" s="7"/>
    </row>
    <row r="14" spans="1:18" x14ac:dyDescent="0.2">
      <c r="A14" s="6"/>
      <c r="C14" s="82" t="s">
        <v>160</v>
      </c>
      <c r="D14" s="425" t="str">
        <f t="shared" si="0"/>
        <v>m3</v>
      </c>
      <c r="E14" s="426"/>
      <c r="F14" s="181"/>
      <c r="G14" s="199">
        <f t="shared" ref="G14:G29" si="2">(F14*E14)</f>
        <v>0</v>
      </c>
      <c r="H14" s="182">
        <f t="shared" si="1"/>
        <v>0</v>
      </c>
      <c r="J14" s="7"/>
    </row>
    <row r="15" spans="1:18" x14ac:dyDescent="0.2">
      <c r="A15" s="6"/>
      <c r="C15" s="82" t="s">
        <v>161</v>
      </c>
      <c r="D15" s="425" t="str">
        <f t="shared" si="0"/>
        <v>m3</v>
      </c>
      <c r="E15" s="426"/>
      <c r="F15" s="181"/>
      <c r="G15" s="199">
        <f t="shared" si="2"/>
        <v>0</v>
      </c>
      <c r="H15" s="182">
        <f t="shared" si="1"/>
        <v>0</v>
      </c>
      <c r="J15" s="7"/>
    </row>
    <row r="16" spans="1:18" x14ac:dyDescent="0.2">
      <c r="A16" s="6"/>
      <c r="C16" s="82" t="s">
        <v>162</v>
      </c>
      <c r="D16" s="425" t="str">
        <f t="shared" si="0"/>
        <v>m3</v>
      </c>
      <c r="E16" s="426"/>
      <c r="F16" s="181"/>
      <c r="G16" s="199">
        <f t="shared" si="2"/>
        <v>0</v>
      </c>
      <c r="H16" s="182">
        <f t="shared" si="1"/>
        <v>0</v>
      </c>
      <c r="J16" s="7"/>
    </row>
    <row r="17" spans="1:10" x14ac:dyDescent="0.2">
      <c r="A17" s="6"/>
      <c r="C17" s="82" t="s">
        <v>163</v>
      </c>
      <c r="D17" s="425" t="str">
        <f t="shared" si="0"/>
        <v>m3</v>
      </c>
      <c r="E17" s="426"/>
      <c r="F17" s="181"/>
      <c r="G17" s="199">
        <f t="shared" si="2"/>
        <v>0</v>
      </c>
      <c r="H17" s="182">
        <f t="shared" si="1"/>
        <v>0</v>
      </c>
      <c r="J17" s="7"/>
    </row>
    <row r="18" spans="1:10" x14ac:dyDescent="0.2">
      <c r="A18" s="6"/>
      <c r="C18" s="82" t="s">
        <v>136</v>
      </c>
      <c r="D18" s="425" t="str">
        <f t="shared" si="0"/>
        <v>m3</v>
      </c>
      <c r="E18" s="426"/>
      <c r="F18" s="181"/>
      <c r="G18" s="199">
        <f t="shared" si="2"/>
        <v>0</v>
      </c>
      <c r="H18" s="182">
        <f t="shared" si="1"/>
        <v>0</v>
      </c>
      <c r="J18" s="7"/>
    </row>
    <row r="19" spans="1:10" x14ac:dyDescent="0.2">
      <c r="A19" s="6"/>
      <c r="C19" s="437" t="s">
        <v>165</v>
      </c>
      <c r="D19" s="427" t="s">
        <v>166</v>
      </c>
      <c r="E19" s="424"/>
      <c r="F19" s="161"/>
      <c r="G19" s="161">
        <f t="shared" si="2"/>
        <v>0</v>
      </c>
      <c r="H19" s="161">
        <f t="shared" si="1"/>
        <v>0</v>
      </c>
      <c r="J19" s="7"/>
    </row>
    <row r="20" spans="1:10" x14ac:dyDescent="0.2">
      <c r="A20" s="6"/>
      <c r="C20" s="33" t="s">
        <v>167</v>
      </c>
      <c r="D20" s="416" t="s">
        <v>167</v>
      </c>
      <c r="E20" s="420">
        <f>+General!D15*1.2</f>
        <v>26400</v>
      </c>
      <c r="F20" s="111">
        <v>0.5</v>
      </c>
      <c r="G20" s="200">
        <f t="shared" si="2"/>
        <v>13200</v>
      </c>
      <c r="H20" s="166">
        <f t="shared" si="1"/>
        <v>7081.5450643776821</v>
      </c>
      <c r="J20" s="7"/>
    </row>
    <row r="21" spans="1:10" x14ac:dyDescent="0.2">
      <c r="A21" s="6"/>
      <c r="C21" s="33" t="s">
        <v>168</v>
      </c>
      <c r="D21" s="416" t="str">
        <f>unit_volume</f>
        <v>L</v>
      </c>
      <c r="E21" s="420"/>
      <c r="F21" s="111"/>
      <c r="G21" s="200">
        <f t="shared" si="2"/>
        <v>0</v>
      </c>
      <c r="H21" s="166">
        <f t="shared" si="1"/>
        <v>0</v>
      </c>
      <c r="J21" s="7"/>
    </row>
    <row r="22" spans="1:10" x14ac:dyDescent="0.2">
      <c r="A22" s="6"/>
      <c r="C22" s="33" t="s">
        <v>170</v>
      </c>
      <c r="D22" s="416" t="str">
        <f>unit_volume</f>
        <v>L</v>
      </c>
      <c r="E22" s="420">
        <f>300*60</f>
        <v>18000</v>
      </c>
      <c r="F22" s="111">
        <v>8</v>
      </c>
      <c r="G22" s="200">
        <f t="shared" si="2"/>
        <v>144000</v>
      </c>
      <c r="H22" s="166">
        <f t="shared" si="1"/>
        <v>77253.218884120171</v>
      </c>
      <c r="J22" s="7"/>
    </row>
    <row r="23" spans="1:10" x14ac:dyDescent="0.2">
      <c r="A23" s="6"/>
      <c r="C23" s="33" t="s">
        <v>171</v>
      </c>
      <c r="D23" s="416" t="str">
        <f t="shared" ref="D23:D29" si="3">unit_number</f>
        <v>each</v>
      </c>
      <c r="E23" s="420">
        <v>1</v>
      </c>
      <c r="F23" s="111">
        <v>40000</v>
      </c>
      <c r="G23" s="200">
        <f t="shared" si="2"/>
        <v>40000</v>
      </c>
      <c r="H23" s="166">
        <f t="shared" si="1"/>
        <v>21459.227467811157</v>
      </c>
      <c r="J23" s="7"/>
    </row>
    <row r="24" spans="1:10" x14ac:dyDescent="0.2">
      <c r="A24" s="6"/>
      <c r="C24" s="33" t="s">
        <v>378</v>
      </c>
      <c r="D24" s="416" t="str">
        <f t="shared" si="3"/>
        <v>each</v>
      </c>
      <c r="E24" s="420"/>
      <c r="F24" s="111"/>
      <c r="G24" s="200">
        <f>(F24*E24)</f>
        <v>0</v>
      </c>
      <c r="H24" s="166">
        <f t="shared" si="1"/>
        <v>0</v>
      </c>
      <c r="J24" s="7"/>
    </row>
    <row r="25" spans="1:10" x14ac:dyDescent="0.2">
      <c r="A25" s="6"/>
      <c r="C25" s="33" t="s">
        <v>533</v>
      </c>
      <c r="D25" s="416" t="str">
        <f t="shared" si="3"/>
        <v>each</v>
      </c>
      <c r="E25" s="420">
        <v>50</v>
      </c>
      <c r="F25" s="111">
        <v>150</v>
      </c>
      <c r="G25" s="200">
        <f>(F25*E25)</f>
        <v>7500</v>
      </c>
      <c r="H25" s="166">
        <f t="shared" si="1"/>
        <v>4023.605150214592</v>
      </c>
      <c r="J25" s="7"/>
    </row>
    <row r="26" spans="1:10" x14ac:dyDescent="0.2">
      <c r="A26" s="6"/>
      <c r="C26" s="33" t="s">
        <v>379</v>
      </c>
      <c r="D26" s="416" t="str">
        <f t="shared" si="3"/>
        <v>each</v>
      </c>
      <c r="E26" s="420">
        <v>1</v>
      </c>
      <c r="F26" s="111">
        <v>500</v>
      </c>
      <c r="G26" s="200">
        <f>(F26*E26)</f>
        <v>500</v>
      </c>
      <c r="H26" s="166">
        <f t="shared" si="1"/>
        <v>268.24034334763945</v>
      </c>
      <c r="J26" s="7"/>
    </row>
    <row r="27" spans="1:10" x14ac:dyDescent="0.2">
      <c r="A27" s="6"/>
      <c r="C27" s="33" t="s">
        <v>380</v>
      </c>
      <c r="D27" s="416" t="str">
        <f t="shared" si="3"/>
        <v>each</v>
      </c>
      <c r="E27" s="420">
        <v>500</v>
      </c>
      <c r="F27" s="111">
        <v>0.2</v>
      </c>
      <c r="G27" s="200">
        <f>(F27*E27)</f>
        <v>100</v>
      </c>
      <c r="H27" s="166">
        <f t="shared" si="1"/>
        <v>53.648068669527895</v>
      </c>
      <c r="J27" s="7"/>
    </row>
    <row r="28" spans="1:10" x14ac:dyDescent="0.2">
      <c r="A28" s="6"/>
      <c r="C28" s="33" t="s">
        <v>381</v>
      </c>
      <c r="D28" s="416" t="str">
        <f t="shared" si="3"/>
        <v>each</v>
      </c>
      <c r="E28" s="420">
        <v>12</v>
      </c>
      <c r="F28" s="111">
        <v>600</v>
      </c>
      <c r="G28" s="200">
        <f>(F28*E28)</f>
        <v>7200</v>
      </c>
      <c r="H28" s="166">
        <f t="shared" si="1"/>
        <v>3862.6609442060085</v>
      </c>
      <c r="J28" s="7"/>
    </row>
    <row r="29" spans="1:10" x14ac:dyDescent="0.2">
      <c r="A29" s="6"/>
      <c r="C29" s="35" t="s">
        <v>382</v>
      </c>
      <c r="D29" s="416" t="str">
        <f t="shared" si="3"/>
        <v>each</v>
      </c>
      <c r="E29" s="420">
        <v>12</v>
      </c>
      <c r="F29" s="111">
        <v>600</v>
      </c>
      <c r="G29" s="200">
        <f t="shared" si="2"/>
        <v>7200</v>
      </c>
      <c r="H29" s="166">
        <f t="shared" si="1"/>
        <v>3862.6609442060085</v>
      </c>
      <c r="J29" s="7"/>
    </row>
    <row r="30" spans="1:10" x14ac:dyDescent="0.2">
      <c r="A30" s="6"/>
      <c r="C30" s="34" t="s">
        <v>196</v>
      </c>
      <c r="D30" s="439"/>
      <c r="E30" s="440"/>
      <c r="F30" s="112"/>
      <c r="G30" s="201"/>
      <c r="H30" s="167"/>
      <c r="J30" s="7"/>
    </row>
    <row r="31" spans="1:10" x14ac:dyDescent="0.2">
      <c r="A31" s="6"/>
      <c r="C31" s="82" t="s">
        <v>534</v>
      </c>
      <c r="D31" s="425" t="str">
        <f>unit_number</f>
        <v>each</v>
      </c>
      <c r="E31" s="426"/>
      <c r="F31" s="181"/>
      <c r="G31" s="199">
        <f>(F31*E31)</f>
        <v>0</v>
      </c>
      <c r="H31" s="182">
        <f t="shared" ref="H31:H56" si="4">(G31/$D$7)</f>
        <v>0</v>
      </c>
      <c r="J31" s="7"/>
    </row>
    <row r="32" spans="1:10" x14ac:dyDescent="0.2">
      <c r="A32" s="6"/>
      <c r="C32" s="82" t="s">
        <v>535</v>
      </c>
      <c r="D32" s="425" t="str">
        <f>unit_number</f>
        <v>each</v>
      </c>
      <c r="E32" s="426"/>
      <c r="F32" s="181"/>
      <c r="G32" s="199">
        <f>(F32*E32)</f>
        <v>0</v>
      </c>
      <c r="H32" s="182">
        <f t="shared" si="4"/>
        <v>0</v>
      </c>
      <c r="J32" s="7"/>
    </row>
    <row r="33" spans="1:10" x14ac:dyDescent="0.2">
      <c r="A33" s="6"/>
      <c r="C33" s="82" t="s">
        <v>536</v>
      </c>
      <c r="D33" s="425" t="str">
        <f>unit_number</f>
        <v>each</v>
      </c>
      <c r="E33" s="426"/>
      <c r="F33" s="161"/>
      <c r="G33" s="199">
        <f>(F33*E33)</f>
        <v>0</v>
      </c>
      <c r="H33" s="182">
        <f t="shared" si="4"/>
        <v>0</v>
      </c>
      <c r="J33" s="7"/>
    </row>
    <row r="34" spans="1:10" x14ac:dyDescent="0.2">
      <c r="A34" s="6"/>
      <c r="C34" s="33" t="s">
        <v>260</v>
      </c>
      <c r="D34" s="416" t="s">
        <v>197</v>
      </c>
      <c r="E34" s="420"/>
      <c r="F34" s="111"/>
      <c r="G34" s="200">
        <f>(F34*E34)</f>
        <v>0</v>
      </c>
      <c r="H34" s="166">
        <f t="shared" si="4"/>
        <v>0</v>
      </c>
      <c r="J34" s="7"/>
    </row>
    <row r="35" spans="1:10" x14ac:dyDescent="0.2">
      <c r="A35" s="6"/>
      <c r="C35" s="34" t="s">
        <v>261</v>
      </c>
      <c r="D35" s="439"/>
      <c r="E35" s="440"/>
      <c r="F35" s="112"/>
      <c r="G35" s="201"/>
      <c r="H35" s="167"/>
      <c r="J35" s="7"/>
    </row>
    <row r="36" spans="1:10" x14ac:dyDescent="0.2">
      <c r="A36" s="6"/>
      <c r="C36" s="82" t="s">
        <v>179</v>
      </c>
      <c r="D36" s="425" t="s">
        <v>169</v>
      </c>
      <c r="E36" s="426"/>
      <c r="F36" s="181"/>
      <c r="G36" s="199">
        <f t="shared" ref="G36:G44" si="5">(F36*E36)</f>
        <v>0</v>
      </c>
      <c r="H36" s="182">
        <f t="shared" si="4"/>
        <v>0</v>
      </c>
      <c r="J36" s="7"/>
    </row>
    <row r="37" spans="1:10" x14ac:dyDescent="0.2">
      <c r="A37" s="6"/>
      <c r="C37" s="82" t="s">
        <v>180</v>
      </c>
      <c r="D37" s="425" t="s">
        <v>169</v>
      </c>
      <c r="E37" s="426">
        <v>12</v>
      </c>
      <c r="F37" s="181">
        <v>400</v>
      </c>
      <c r="G37" s="199">
        <f t="shared" si="5"/>
        <v>4800</v>
      </c>
      <c r="H37" s="182">
        <f t="shared" si="4"/>
        <v>2575.1072961373388</v>
      </c>
      <c r="J37" s="7"/>
    </row>
    <row r="38" spans="1:10" x14ac:dyDescent="0.2">
      <c r="A38" s="6"/>
      <c r="C38" s="82" t="s">
        <v>181</v>
      </c>
      <c r="D38" s="425" t="s">
        <v>169</v>
      </c>
      <c r="E38" s="426"/>
      <c r="F38" s="181"/>
      <c r="G38" s="199">
        <f t="shared" si="5"/>
        <v>0</v>
      </c>
      <c r="H38" s="182">
        <f t="shared" si="4"/>
        <v>0</v>
      </c>
      <c r="J38" s="7"/>
    </row>
    <row r="39" spans="1:10" x14ac:dyDescent="0.2">
      <c r="A39" s="6"/>
      <c r="C39" s="83" t="s">
        <v>178</v>
      </c>
      <c r="D39" s="427" t="s">
        <v>198</v>
      </c>
      <c r="E39" s="424"/>
      <c r="F39" s="161"/>
      <c r="G39" s="199">
        <f t="shared" si="5"/>
        <v>0</v>
      </c>
      <c r="H39" s="182">
        <f t="shared" si="4"/>
        <v>0</v>
      </c>
      <c r="J39" s="7"/>
    </row>
    <row r="40" spans="1:10" x14ac:dyDescent="0.2">
      <c r="A40" s="6"/>
      <c r="C40" s="33" t="s">
        <v>44</v>
      </c>
      <c r="D40" s="416" t="s">
        <v>199</v>
      </c>
      <c r="E40" s="420">
        <v>5000</v>
      </c>
      <c r="F40" s="111">
        <v>1.35</v>
      </c>
      <c r="G40" s="200">
        <f t="shared" si="5"/>
        <v>6750</v>
      </c>
      <c r="H40" s="166">
        <f t="shared" si="4"/>
        <v>3621.244635193133</v>
      </c>
      <c r="J40" s="7"/>
    </row>
    <row r="41" spans="1:10" x14ac:dyDescent="0.2">
      <c r="A41" s="6"/>
      <c r="C41" s="33" t="s">
        <v>182</v>
      </c>
      <c r="D41" s="416" t="s">
        <v>169</v>
      </c>
      <c r="E41" s="420">
        <v>1</v>
      </c>
      <c r="F41" s="111">
        <v>5000</v>
      </c>
      <c r="G41" s="200">
        <f t="shared" si="5"/>
        <v>5000</v>
      </c>
      <c r="H41" s="166">
        <f t="shared" si="4"/>
        <v>2682.4034334763946</v>
      </c>
      <c r="J41" s="7"/>
    </row>
    <row r="42" spans="1:10" x14ac:dyDescent="0.2">
      <c r="A42" s="6"/>
      <c r="C42" s="33" t="s">
        <v>183</v>
      </c>
      <c r="D42" s="416" t="s">
        <v>172</v>
      </c>
      <c r="E42" s="420"/>
      <c r="F42" s="111"/>
      <c r="G42" s="200">
        <f t="shared" si="5"/>
        <v>0</v>
      </c>
      <c r="H42" s="166">
        <f t="shared" si="4"/>
        <v>0</v>
      </c>
      <c r="J42" s="7"/>
    </row>
    <row r="43" spans="1:10" x14ac:dyDescent="0.2">
      <c r="A43" s="6"/>
      <c r="C43" s="33" t="s">
        <v>200</v>
      </c>
      <c r="D43" s="416" t="s">
        <v>172</v>
      </c>
      <c r="E43" s="420">
        <v>1</v>
      </c>
      <c r="F43" s="111">
        <v>20000</v>
      </c>
      <c r="G43" s="200">
        <f t="shared" si="5"/>
        <v>20000</v>
      </c>
      <c r="H43" s="166">
        <f t="shared" si="4"/>
        <v>10729.613733905579</v>
      </c>
      <c r="J43" s="7"/>
    </row>
    <row r="44" spans="1:10" x14ac:dyDescent="0.2">
      <c r="A44" s="6"/>
      <c r="C44" s="33" t="s">
        <v>201</v>
      </c>
      <c r="D44" s="416" t="s">
        <v>172</v>
      </c>
      <c r="E44" s="420">
        <v>1</v>
      </c>
      <c r="F44" s="111">
        <v>15000</v>
      </c>
      <c r="G44" s="200">
        <f t="shared" si="5"/>
        <v>15000</v>
      </c>
      <c r="H44" s="166">
        <f t="shared" si="4"/>
        <v>8047.2103004291839</v>
      </c>
      <c r="J44" s="7"/>
    </row>
    <row r="45" spans="1:10" x14ac:dyDescent="0.2">
      <c r="A45" s="6"/>
      <c r="C45" s="34" t="s">
        <v>184</v>
      </c>
      <c r="D45" s="439"/>
      <c r="E45" s="440"/>
      <c r="F45" s="112"/>
      <c r="G45" s="201"/>
      <c r="H45" s="167"/>
      <c r="J45" s="7"/>
    </row>
    <row r="46" spans="1:10" x14ac:dyDescent="0.2">
      <c r="A46" s="6"/>
      <c r="C46" s="82" t="s">
        <v>185</v>
      </c>
      <c r="D46" s="425" t="s">
        <v>174</v>
      </c>
      <c r="E46" s="426">
        <v>12</v>
      </c>
      <c r="F46" s="181">
        <v>8000</v>
      </c>
      <c r="G46" s="199">
        <f t="shared" ref="G46:G56" si="6">(F46*E46)</f>
        <v>96000</v>
      </c>
      <c r="H46" s="182">
        <f t="shared" si="4"/>
        <v>51502.145922746779</v>
      </c>
      <c r="J46" s="7"/>
    </row>
    <row r="47" spans="1:10" x14ac:dyDescent="0.2">
      <c r="A47" s="6"/>
      <c r="C47" s="82" t="s">
        <v>186</v>
      </c>
      <c r="D47" s="425" t="s">
        <v>174</v>
      </c>
      <c r="E47" s="426">
        <v>1</v>
      </c>
      <c r="F47" s="181">
        <v>8000</v>
      </c>
      <c r="G47" s="199">
        <f t="shared" si="6"/>
        <v>8000</v>
      </c>
      <c r="H47" s="182">
        <f t="shared" si="4"/>
        <v>4291.8454935622312</v>
      </c>
      <c r="J47" s="7"/>
    </row>
    <row r="48" spans="1:10" x14ac:dyDescent="0.2">
      <c r="A48" s="6"/>
      <c r="C48" s="82" t="s">
        <v>187</v>
      </c>
      <c r="D48" s="425" t="s">
        <v>174</v>
      </c>
      <c r="E48" s="426">
        <v>12</v>
      </c>
      <c r="F48" s="181">
        <v>1000</v>
      </c>
      <c r="G48" s="199">
        <f t="shared" si="6"/>
        <v>12000</v>
      </c>
      <c r="H48" s="182">
        <f t="shared" si="4"/>
        <v>6437.7682403433473</v>
      </c>
      <c r="J48" s="7"/>
    </row>
    <row r="49" spans="1:10" x14ac:dyDescent="0.2">
      <c r="A49" s="6"/>
      <c r="C49" s="82" t="s">
        <v>191</v>
      </c>
      <c r="D49" s="425" t="s">
        <v>174</v>
      </c>
      <c r="E49" s="426">
        <v>12</v>
      </c>
      <c r="F49" s="181">
        <v>1200</v>
      </c>
      <c r="G49" s="199">
        <f t="shared" si="6"/>
        <v>14400</v>
      </c>
      <c r="H49" s="182">
        <f t="shared" si="4"/>
        <v>7725.321888412017</v>
      </c>
      <c r="J49" s="7"/>
    </row>
    <row r="50" spans="1:10" x14ac:dyDescent="0.2">
      <c r="A50" s="6"/>
      <c r="C50" s="82" t="s">
        <v>193</v>
      </c>
      <c r="D50" s="425" t="s">
        <v>174</v>
      </c>
      <c r="E50" s="426"/>
      <c r="F50" s="181"/>
      <c r="G50" s="199">
        <f t="shared" si="6"/>
        <v>0</v>
      </c>
      <c r="H50" s="182">
        <f t="shared" si="4"/>
        <v>0</v>
      </c>
      <c r="J50" s="7"/>
    </row>
    <row r="51" spans="1:10" x14ac:dyDescent="0.2">
      <c r="A51" s="6"/>
      <c r="C51" s="82" t="s">
        <v>188</v>
      </c>
      <c r="D51" s="425" t="s">
        <v>174</v>
      </c>
      <c r="E51" s="426">
        <f>15*12</f>
        <v>180</v>
      </c>
      <c r="F51" s="181">
        <v>2000</v>
      </c>
      <c r="G51" s="199">
        <f t="shared" si="6"/>
        <v>360000</v>
      </c>
      <c r="H51" s="182">
        <f t="shared" si="4"/>
        <v>193133.04721030043</v>
      </c>
      <c r="J51" s="7"/>
    </row>
    <row r="52" spans="1:10" x14ac:dyDescent="0.2">
      <c r="A52" s="6"/>
      <c r="C52" s="82" t="s">
        <v>189</v>
      </c>
      <c r="D52" s="425" t="s">
        <v>174</v>
      </c>
      <c r="E52" s="426">
        <f>15</f>
        <v>15</v>
      </c>
      <c r="F52" s="181">
        <v>2000</v>
      </c>
      <c r="G52" s="199">
        <f t="shared" si="6"/>
        <v>30000</v>
      </c>
      <c r="H52" s="182">
        <f t="shared" si="4"/>
        <v>16094.420600858368</v>
      </c>
      <c r="J52" s="7"/>
    </row>
    <row r="53" spans="1:10" x14ac:dyDescent="0.2">
      <c r="A53" s="6"/>
      <c r="C53" s="82" t="s">
        <v>190</v>
      </c>
      <c r="D53" s="425" t="s">
        <v>174</v>
      </c>
      <c r="E53" s="426">
        <f>15*12</f>
        <v>180</v>
      </c>
      <c r="F53" s="181">
        <v>800</v>
      </c>
      <c r="G53" s="199">
        <f t="shared" si="6"/>
        <v>144000</v>
      </c>
      <c r="H53" s="182">
        <f t="shared" si="4"/>
        <v>77253.218884120171</v>
      </c>
      <c r="J53" s="7"/>
    </row>
    <row r="54" spans="1:10" x14ac:dyDescent="0.2">
      <c r="A54" s="6"/>
      <c r="C54" s="82" t="s">
        <v>192</v>
      </c>
      <c r="D54" s="425" t="s">
        <v>174</v>
      </c>
      <c r="E54" s="426">
        <f>15*12</f>
        <v>180</v>
      </c>
      <c r="F54" s="181">
        <v>500</v>
      </c>
      <c r="G54" s="199">
        <f t="shared" si="6"/>
        <v>90000</v>
      </c>
      <c r="H54" s="182">
        <f t="shared" si="4"/>
        <v>48283.261802575107</v>
      </c>
      <c r="J54" s="7"/>
    </row>
    <row r="55" spans="1:10" x14ac:dyDescent="0.2">
      <c r="A55" s="6"/>
      <c r="C55" s="83" t="s">
        <v>194</v>
      </c>
      <c r="D55" s="425" t="s">
        <v>174</v>
      </c>
      <c r="E55" s="424"/>
      <c r="F55" s="161"/>
      <c r="G55" s="199">
        <f t="shared" si="6"/>
        <v>0</v>
      </c>
      <c r="H55" s="182">
        <f t="shared" si="4"/>
        <v>0</v>
      </c>
      <c r="J55" s="7"/>
    </row>
    <row r="56" spans="1:10" ht="13.5" thickBot="1" x14ac:dyDescent="0.25">
      <c r="A56" s="6"/>
      <c r="C56" s="34" t="s">
        <v>195</v>
      </c>
      <c r="D56" s="418" t="str">
        <f>unit_number</f>
        <v>each</v>
      </c>
      <c r="E56" s="421">
        <v>0</v>
      </c>
      <c r="F56" s="112">
        <v>0</v>
      </c>
      <c r="G56" s="202">
        <f t="shared" si="6"/>
        <v>0</v>
      </c>
      <c r="H56" s="166">
        <f t="shared" si="4"/>
        <v>0</v>
      </c>
      <c r="J56" s="7"/>
    </row>
    <row r="57" spans="1:10" ht="13.5" thickBot="1" x14ac:dyDescent="0.25">
      <c r="A57" s="6"/>
      <c r="C57" s="198" t="s">
        <v>78</v>
      </c>
      <c r="D57" s="169"/>
      <c r="E57" s="177"/>
      <c r="F57" s="164"/>
      <c r="G57" s="203">
        <f>SUM(G12:G56)</f>
        <v>1025650</v>
      </c>
      <c r="H57" s="204">
        <f>SUM(H12:H56)</f>
        <v>550241.4163090128</v>
      </c>
      <c r="J57" s="7"/>
    </row>
    <row r="58" spans="1:10" ht="13.5" thickBot="1" x14ac:dyDescent="0.25">
      <c r="A58" s="6"/>
      <c r="J58" s="7"/>
    </row>
    <row r="59" spans="1:10" ht="13.5" thickBot="1" x14ac:dyDescent="0.25">
      <c r="A59" s="6"/>
      <c r="C59" s="43" t="s">
        <v>262</v>
      </c>
      <c r="D59" s="1"/>
      <c r="J59" s="7"/>
    </row>
    <row r="60" spans="1:10" x14ac:dyDescent="0.2">
      <c r="A60" s="6"/>
      <c r="C60" s="1"/>
      <c r="D60" s="1"/>
      <c r="J60" s="7"/>
    </row>
    <row r="61" spans="1:10" x14ac:dyDescent="0.2">
      <c r="A61" s="6"/>
      <c r="C61" s="88" t="s">
        <v>42</v>
      </c>
      <c r="D61" s="116" t="str">
        <f>Curr_2</f>
        <v>EUR</v>
      </c>
      <c r="J61" s="7"/>
    </row>
    <row r="62" spans="1:10" x14ac:dyDescent="0.2">
      <c r="A62" s="6"/>
      <c r="C62" s="88" t="s">
        <v>43</v>
      </c>
      <c r="D62" s="117">
        <f>Curr_Conv</f>
        <v>1.8640000000000001</v>
      </c>
      <c r="J62" s="7"/>
    </row>
    <row r="63" spans="1:10" ht="13.5" thickBot="1" x14ac:dyDescent="0.25">
      <c r="A63" s="6"/>
      <c r="J63" s="7"/>
    </row>
    <row r="64" spans="1:10" x14ac:dyDescent="0.2">
      <c r="A64" s="6"/>
      <c r="C64" s="186" t="s">
        <v>263</v>
      </c>
      <c r="D64" s="205" t="s">
        <v>39</v>
      </c>
      <c r="E64" s="206" t="s">
        <v>264</v>
      </c>
      <c r="F64" s="207" t="s">
        <v>41</v>
      </c>
      <c r="G64" s="187" t="s">
        <v>266</v>
      </c>
      <c r="H64" s="208" t="s">
        <v>78</v>
      </c>
      <c r="I64" s="354" t="s">
        <v>78</v>
      </c>
      <c r="J64" s="7"/>
    </row>
    <row r="65" spans="1:10" x14ac:dyDescent="0.2">
      <c r="A65" s="6"/>
      <c r="C65" s="190"/>
      <c r="D65" s="209"/>
      <c r="E65" s="210" t="s">
        <v>157</v>
      </c>
      <c r="F65" s="211" t="s">
        <v>157</v>
      </c>
      <c r="G65" s="191" t="s">
        <v>157</v>
      </c>
      <c r="H65" s="212" t="str">
        <f>Curr_1</f>
        <v>USD</v>
      </c>
      <c r="I65" s="355" t="str">
        <f>Curr_2</f>
        <v>EUR</v>
      </c>
      <c r="J65" s="7"/>
    </row>
    <row r="66" spans="1:10" ht="13.5" thickBot="1" x14ac:dyDescent="0.25">
      <c r="A66" s="6"/>
      <c r="C66" s="190"/>
      <c r="D66" s="209"/>
      <c r="E66" s="210" t="s">
        <v>265</v>
      </c>
      <c r="F66" s="211" t="s">
        <v>39</v>
      </c>
      <c r="G66" s="191" t="s">
        <v>267</v>
      </c>
      <c r="H66" s="212"/>
      <c r="I66" s="355"/>
      <c r="J66" s="7"/>
    </row>
    <row r="67" spans="1:10" x14ac:dyDescent="0.2">
      <c r="A67" s="6"/>
      <c r="C67" s="108" t="s">
        <v>178</v>
      </c>
      <c r="D67" s="414" t="s">
        <v>198</v>
      </c>
      <c r="E67" s="419">
        <v>1</v>
      </c>
      <c r="F67" s="428">
        <v>25000</v>
      </c>
      <c r="G67" s="429">
        <v>1</v>
      </c>
      <c r="H67" s="172">
        <f>((E67*G67)*F67)</f>
        <v>25000</v>
      </c>
      <c r="I67" s="232">
        <f>(H67/$D$62)</f>
        <v>13412.017167381973</v>
      </c>
      <c r="J67" s="7"/>
    </row>
    <row r="68" spans="1:10" x14ac:dyDescent="0.2">
      <c r="A68" s="6"/>
      <c r="C68" s="84" t="s">
        <v>177</v>
      </c>
      <c r="D68" s="416" t="s">
        <v>197</v>
      </c>
      <c r="E68" s="420"/>
      <c r="F68" s="430"/>
      <c r="G68" s="431"/>
      <c r="H68" s="111">
        <f>((E68*G68)*F68)</f>
        <v>0</v>
      </c>
      <c r="I68" s="233">
        <f>(H68/$D$62)</f>
        <v>0</v>
      </c>
      <c r="J68" s="7"/>
    </row>
    <row r="69" spans="1:10" x14ac:dyDescent="0.2">
      <c r="A69" s="6"/>
      <c r="C69" s="84" t="s">
        <v>181</v>
      </c>
      <c r="D69" s="416" t="s">
        <v>169</v>
      </c>
      <c r="E69" s="420"/>
      <c r="F69" s="430"/>
      <c r="G69" s="431"/>
      <c r="H69" s="111">
        <f>((E69*G69)*F69)</f>
        <v>0</v>
      </c>
      <c r="I69" s="233">
        <f>(H69/$D$62)</f>
        <v>0</v>
      </c>
      <c r="J69" s="7"/>
    </row>
    <row r="70" spans="1:10" x14ac:dyDescent="0.2">
      <c r="A70" s="6"/>
      <c r="C70" s="84" t="s">
        <v>180</v>
      </c>
      <c r="D70" s="416" t="s">
        <v>169</v>
      </c>
      <c r="E70" s="420"/>
      <c r="F70" s="430"/>
      <c r="G70" s="431"/>
      <c r="H70" s="111">
        <f>((E70*G70)*F70)</f>
        <v>0</v>
      </c>
      <c r="I70" s="233">
        <f>(H70/$D$62)</f>
        <v>0</v>
      </c>
      <c r="J70" s="7"/>
    </row>
    <row r="71" spans="1:10" ht="13.5" thickBot="1" x14ac:dyDescent="0.25">
      <c r="A71" s="6"/>
      <c r="C71" s="85" t="s">
        <v>179</v>
      </c>
      <c r="D71" s="432" t="s">
        <v>169</v>
      </c>
      <c r="E71" s="433"/>
      <c r="F71" s="434"/>
      <c r="G71" s="435"/>
      <c r="H71" s="158">
        <f>((E71*G71)*F71)</f>
        <v>0</v>
      </c>
      <c r="I71" s="234">
        <f>(H71/$D$62)</f>
        <v>0</v>
      </c>
      <c r="J71" s="7"/>
    </row>
    <row r="72" spans="1:10" x14ac:dyDescent="0.2">
      <c r="A72" s="6"/>
      <c r="J72" s="7"/>
    </row>
    <row r="73" spans="1:10" ht="13.5" thickBot="1" x14ac:dyDescent="0.25">
      <c r="A73" s="6"/>
      <c r="J73" s="7"/>
    </row>
    <row r="74" spans="1:10" ht="13.5" thickBot="1" x14ac:dyDescent="0.25">
      <c r="A74" s="6"/>
      <c r="C74" s="43" t="s">
        <v>270</v>
      </c>
      <c r="D74" s="1"/>
      <c r="J74" s="7"/>
    </row>
    <row r="75" spans="1:10" x14ac:dyDescent="0.2">
      <c r="A75" s="6"/>
      <c r="C75" s="1"/>
      <c r="D75" s="1"/>
      <c r="J75" s="7"/>
    </row>
    <row r="76" spans="1:10" x14ac:dyDescent="0.2">
      <c r="A76" s="6"/>
      <c r="C76" s="88" t="s">
        <v>42</v>
      </c>
      <c r="D76" s="116" t="str">
        <f>Curr_2</f>
        <v>EUR</v>
      </c>
      <c r="J76" s="7"/>
    </row>
    <row r="77" spans="1:10" x14ac:dyDescent="0.2">
      <c r="A77" s="6"/>
      <c r="C77" s="88" t="s">
        <v>43</v>
      </c>
      <c r="D77" s="117">
        <f>Curr_Conv</f>
        <v>1.8640000000000001</v>
      </c>
      <c r="J77" s="7"/>
    </row>
    <row r="78" spans="1:10" ht="13.5" thickBot="1" x14ac:dyDescent="0.25">
      <c r="A78" s="6"/>
      <c r="J78" s="7"/>
    </row>
    <row r="79" spans="1:10" x14ac:dyDescent="0.2">
      <c r="A79" s="6"/>
      <c r="C79" s="186" t="s">
        <v>263</v>
      </c>
      <c r="D79" s="205" t="s">
        <v>39</v>
      </c>
      <c r="E79" s="206" t="s">
        <v>264</v>
      </c>
      <c r="F79" s="207" t="s">
        <v>41</v>
      </c>
      <c r="G79" s="187" t="s">
        <v>266</v>
      </c>
      <c r="H79" s="208" t="s">
        <v>78</v>
      </c>
      <c r="I79" s="354" t="s">
        <v>78</v>
      </c>
      <c r="J79" s="7"/>
    </row>
    <row r="80" spans="1:10" x14ac:dyDescent="0.2">
      <c r="A80" s="6"/>
      <c r="C80" s="190"/>
      <c r="D80" s="209"/>
      <c r="E80" s="210" t="s">
        <v>157</v>
      </c>
      <c r="F80" s="211" t="s">
        <v>157</v>
      </c>
      <c r="G80" s="191" t="s">
        <v>157</v>
      </c>
      <c r="H80" s="212" t="str">
        <f>Curr_1</f>
        <v>USD</v>
      </c>
      <c r="I80" s="355" t="str">
        <f>Curr_2</f>
        <v>EUR</v>
      </c>
      <c r="J80" s="7"/>
    </row>
    <row r="81" spans="1:10" ht="13.5" thickBot="1" x14ac:dyDescent="0.25">
      <c r="A81" s="6"/>
      <c r="C81" s="190"/>
      <c r="D81" s="209"/>
      <c r="E81" s="210" t="s">
        <v>265</v>
      </c>
      <c r="F81" s="211" t="s">
        <v>39</v>
      </c>
      <c r="G81" s="191" t="s">
        <v>267</v>
      </c>
      <c r="H81" s="212"/>
      <c r="I81" s="355"/>
      <c r="J81" s="7"/>
    </row>
    <row r="82" spans="1:10" x14ac:dyDescent="0.2">
      <c r="A82" s="6"/>
      <c r="C82" s="108" t="s">
        <v>139</v>
      </c>
      <c r="D82" s="414" t="s">
        <v>169</v>
      </c>
      <c r="E82" s="419"/>
      <c r="F82" s="428">
        <v>0.25</v>
      </c>
      <c r="G82" s="429">
        <f>360*10</f>
        <v>3600</v>
      </c>
      <c r="H82" s="480">
        <f>((E82*G82)*F82)</f>
        <v>0</v>
      </c>
      <c r="I82" s="481">
        <f>(H82/$D$77)</f>
        <v>0</v>
      </c>
      <c r="J82" s="7"/>
    </row>
    <row r="83" spans="1:10" ht="13.5" thickBot="1" x14ac:dyDescent="0.25">
      <c r="A83" s="6"/>
      <c r="C83" s="85" t="s">
        <v>177</v>
      </c>
      <c r="D83" s="432" t="s">
        <v>197</v>
      </c>
      <c r="E83" s="433"/>
      <c r="F83" s="434">
        <v>0.23</v>
      </c>
      <c r="G83" s="436">
        <v>3600</v>
      </c>
      <c r="H83" s="482">
        <f>((E83*G83)*F83)</f>
        <v>0</v>
      </c>
      <c r="I83" s="483">
        <f>(H83/$D$77)</f>
        <v>0</v>
      </c>
      <c r="J83" s="7"/>
    </row>
    <row r="84" spans="1:10" x14ac:dyDescent="0.2">
      <c r="A84" s="6"/>
      <c r="J84" s="7"/>
    </row>
    <row r="85" spans="1:10" ht="13.5" thickBot="1" x14ac:dyDescent="0.25">
      <c r="A85" s="26"/>
      <c r="B85" s="27"/>
      <c r="C85" s="27"/>
      <c r="D85" s="27"/>
      <c r="E85" s="216"/>
      <c r="F85" s="216"/>
      <c r="G85" s="217"/>
      <c r="H85" s="217"/>
      <c r="I85" s="27"/>
      <c r="J85" s="8"/>
    </row>
  </sheetData>
  <mergeCells count="1">
    <mergeCell ref="K1:R1"/>
  </mergeCells>
  <phoneticPr fontId="0" type="noConversion"/>
  <pageMargins left="0.75" right="0.75" top="1" bottom="1" header="0.5" footer="0.5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12</vt:i4>
      </vt:variant>
    </vt:vector>
  </HeadingPairs>
  <TitlesOfParts>
    <vt:vector size="33" baseType="lpstr">
      <vt:lpstr>Client</vt:lpstr>
      <vt:lpstr>General</vt:lpstr>
      <vt:lpstr>Cover Struct</vt:lpstr>
      <vt:lpstr>Irrigation</vt:lpstr>
      <vt:lpstr>Heating</vt:lpstr>
      <vt:lpstr>Cooling</vt:lpstr>
      <vt:lpstr>Civils</vt:lpstr>
      <vt:lpstr>Equipment</vt:lpstr>
      <vt:lpstr>Production Costs</vt:lpstr>
      <vt:lpstr>Market</vt:lpstr>
      <vt:lpstr>Summary - Costing</vt:lpstr>
      <vt:lpstr>Projections</vt:lpstr>
      <vt:lpstr>Cash Flow - Year 1</vt:lpstr>
      <vt:lpstr>Cash Flow - Year 2</vt:lpstr>
      <vt:lpstr>Cash Flow - Year 3</vt:lpstr>
      <vt:lpstr>Cash Flow - Year 4</vt:lpstr>
      <vt:lpstr>Cash Flow - Year 5</vt:lpstr>
      <vt:lpstr>Cash Flow - Year 6</vt:lpstr>
      <vt:lpstr>Cash Flow - Year 7</vt:lpstr>
      <vt:lpstr>Cash Flow - Year 8</vt:lpstr>
      <vt:lpstr>Cash Flow - Annual</vt:lpstr>
      <vt:lpstr>Crops</vt:lpstr>
      <vt:lpstr>Curr_1</vt:lpstr>
      <vt:lpstr>Curr_2</vt:lpstr>
      <vt:lpstr>Curr_Conv</vt:lpstr>
      <vt:lpstr>unit_area</vt:lpstr>
      <vt:lpstr>unit_length</vt:lpstr>
      <vt:lpstr>unit_number</vt:lpstr>
      <vt:lpstr>unit_time_worked</vt:lpstr>
      <vt:lpstr>unit_travel</vt:lpstr>
      <vt:lpstr>unit_vol_material</vt:lpstr>
      <vt:lpstr>unit_volume</vt:lpstr>
      <vt:lpstr>unit_weight</vt:lpstr>
    </vt:vector>
  </TitlesOfParts>
  <Company>MANSTRAT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R.P. de Villiers</dc:creator>
  <cp:lastModifiedBy>Antonius</cp:lastModifiedBy>
  <cp:lastPrinted>1998-07-17T11:48:44Z</cp:lastPrinted>
  <dcterms:created xsi:type="dcterms:W3CDTF">1998-06-24T07:21:17Z</dcterms:created>
  <dcterms:modified xsi:type="dcterms:W3CDTF">2019-04-04T10:55:13Z</dcterms:modified>
</cp:coreProperties>
</file>